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950" activeTab="0"/>
  </bookViews>
  <sheets>
    <sheet name="FLOCALC" sheetId="1" r:id="rId1"/>
    <sheet name="DEFINITIONS" sheetId="2" r:id="rId2"/>
  </sheets>
  <definedNames>
    <definedName name="RE100">'FLOCALC'!$O$15*5+'FLOCALC'!$O$16*7.5+'FLOCALC'!$O$17*4.9+'FLOCALC'!$O$18*17+'FLOCALC'!$O$19*9.9+'FLOCALC'!$O$20*20</definedName>
    <definedName name="RE2000">'FLOCALC'!$O$15*0.24+'FLOCALC'!$O$16*0.4+'FLOCALC'!$O$17*1.3+'FLOCALC'!$O$18*2+'FLOCALC'!$O$19*0.18+'FLOCALC'!$O$20*8.2</definedName>
    <definedName name="RE50">'FLOCALC'!$O$15*10+'FLOCALC'!$O$16*16+'FLOCALC'!$O$17*9.3+'FLOCALC'!$O$18*55+'FLOCALC'!$O$19*24+'FLOCALC'!$O$20*30</definedName>
    <definedName name="RE500">'FLOCALC'!$O$15*0.7+'FLOCALC'!$O$16*1+'FLOCALC'!$O$17*1.8+'FLOCALC'!$O$18*4.5+'FLOCALC'!$O$19*1.7+'FLOCALC'!$O$20*13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<sst xmlns="http://schemas.openxmlformats.org/spreadsheetml/2006/main" count="92" uniqueCount="76">
  <si>
    <t>PIPE  INCOMPRESABLE  FLUID  PRESSURE DROP  CALCULATIONS</t>
  </si>
  <si>
    <t>Input Data</t>
  </si>
  <si>
    <t>Flow Rate, gpm =</t>
  </si>
  <si>
    <t>Q</t>
  </si>
  <si>
    <t>Fluid Yield Stress, pascals =</t>
  </si>
  <si>
    <t>t</t>
  </si>
  <si>
    <t>Diameter, inches =</t>
  </si>
  <si>
    <t>D</t>
  </si>
  <si>
    <t>Infinite Shear Visc, mPa-sec =</t>
  </si>
  <si>
    <t>h</t>
  </si>
  <si>
    <t>Length, feet =</t>
  </si>
  <si>
    <t>L</t>
  </si>
  <si>
    <t>Friction</t>
  </si>
  <si>
    <t>Absolute Roughness, inches =</t>
  </si>
  <si>
    <t>e</t>
  </si>
  <si>
    <t>System Curve</t>
  </si>
  <si>
    <t>Density, lbm/ft³ =</t>
  </si>
  <si>
    <t>r</t>
  </si>
  <si>
    <t>GPM</t>
  </si>
  <si>
    <t>Vel</t>
  </si>
  <si>
    <t>Nre</t>
  </si>
  <si>
    <t>Frict Fac</t>
  </si>
  <si>
    <t>AppVisc</t>
  </si>
  <si>
    <t>Pres Drp</t>
  </si>
  <si>
    <t>Head, ft</t>
  </si>
  <si>
    <t>Fittings and Valves</t>
  </si>
  <si>
    <t>Viscosity, cp =</t>
  </si>
  <si>
    <t>µ</t>
  </si>
  <si>
    <t xml:space="preserve"> </t>
  </si>
  <si>
    <t>Vel Hds</t>
  </si>
  <si>
    <t>N</t>
  </si>
  <si>
    <t>X</t>
  </si>
  <si>
    <t>Equiv L</t>
  </si>
  <si>
    <t>Le</t>
  </si>
  <si>
    <t>Output Data</t>
  </si>
  <si>
    <t>No. of 45° ELs =</t>
  </si>
  <si>
    <t>n</t>
  </si>
  <si>
    <t>No. of 90° ELs =</t>
  </si>
  <si>
    <t>Mean Velocity, feet/sec =</t>
  </si>
  <si>
    <t>V</t>
  </si>
  <si>
    <t>No. of TEEs =</t>
  </si>
  <si>
    <t>Reynolds Number =</t>
  </si>
  <si>
    <t>No. of Check Valves =</t>
  </si>
  <si>
    <t>Friction Factor =</t>
  </si>
  <si>
    <t>f</t>
  </si>
  <si>
    <t>No. of Gate Valves =</t>
  </si>
  <si>
    <t>Relative Roughness =</t>
  </si>
  <si>
    <t>e/D</t>
  </si>
  <si>
    <t>No. of GlobeValves =</t>
  </si>
  <si>
    <t>Shear Rate, sec-¹ =</t>
  </si>
  <si>
    <t>Fixed Drop, lbf/in² =</t>
  </si>
  <si>
    <t>DR</t>
  </si>
  <si>
    <t>Apparent Viscosity, cp =</t>
  </si>
  <si>
    <t>Pipe Pressure Drop, lbf/in² =</t>
  </si>
  <si>
    <t>Fittings Pressure Drop, lbf/in² =</t>
  </si>
  <si>
    <t xml:space="preserve"> ---------------------------------------------------</t>
  </si>
  <si>
    <t>Total Pressure Drop, lbf/in² =</t>
  </si>
  <si>
    <t>Total Friction Loss, ft-lbf/lbm =</t>
  </si>
  <si>
    <r>
      <t>µ</t>
    </r>
    <r>
      <rPr>
        <vertAlign val="subscript"/>
        <sz val="14"/>
        <color indexed="51"/>
        <rFont val="Arial"/>
        <family val="2"/>
      </rPr>
      <t>ISV</t>
    </r>
  </si>
  <si>
    <r>
      <t>µ</t>
    </r>
    <r>
      <rPr>
        <vertAlign val="subscript"/>
        <sz val="13.5"/>
        <color indexed="51"/>
        <rFont val="Arial"/>
        <family val="2"/>
      </rPr>
      <t>A</t>
    </r>
  </si>
  <si>
    <t xml:space="preserve"> =  Infinite Shear Viscosity, mPa-sec</t>
  </si>
  <si>
    <t xml:space="preserve"> =  Apparent Viscosity, mPa-sec</t>
  </si>
  <si>
    <t xml:space="preserve"> =  Slurry Yield Stress, Pascals</t>
  </si>
  <si>
    <t xml:space="preserve"> =  Shear Stress of fluid flowing with a shear rate, R  =  8V/D, sec-1</t>
  </si>
  <si>
    <t xml:space="preserve"> =  Average fluid velocity, ft/sec</t>
  </si>
  <si>
    <t xml:space="preserve"> =  Pipe inside diameter, ft</t>
  </si>
  <si>
    <t>YIELD STRESS FLUID RHEOLOGICAL DEFINITIONS</t>
  </si>
  <si>
    <t>If a Yield Stress Fluid</t>
  </si>
  <si>
    <t>Input Examples</t>
  </si>
  <si>
    <r>
      <t>Sprinkler Water Line:  13 GPM, 0.785" Diameter Tubing, 100 ft long -</t>
    </r>
    <r>
      <rPr>
        <b/>
        <i/>
        <sz val="12"/>
        <color indexed="14"/>
        <rFont val="Arial"/>
        <family val="2"/>
      </rPr>
      <t xml:space="preserve"> Newtonian Fluid</t>
    </r>
  </si>
  <si>
    <t xml:space="preserve">                                        Fluid Yield Stress = 20 pascals, </t>
  </si>
  <si>
    <t xml:space="preserve">                                        Infinite Shear Viscosity = 176 mPa-sec</t>
  </si>
  <si>
    <t>Input in Red</t>
  </si>
  <si>
    <t>Output in Blue</t>
  </si>
  <si>
    <r>
      <t>TiO</t>
    </r>
    <r>
      <rPr>
        <vertAlign val="subscript"/>
        <sz val="12"/>
        <color indexed="14"/>
        <rFont val="Arial"/>
        <family val="2"/>
      </rPr>
      <t xml:space="preserve">2  </t>
    </r>
    <r>
      <rPr>
        <sz val="12"/>
        <color indexed="14"/>
        <rFont val="Arial"/>
        <family val="2"/>
      </rPr>
      <t xml:space="preserve">- Water Slurry:      500 GPM,  3.0" Diameter Pipe, 100 ft long - </t>
    </r>
    <r>
      <rPr>
        <b/>
        <i/>
        <sz val="12"/>
        <color indexed="14"/>
        <rFont val="Arial"/>
        <family val="2"/>
      </rPr>
      <t>Yield Stress Fluid</t>
    </r>
  </si>
  <si>
    <r>
      <t xml:space="preserve">                  Shear Rate R = 8V/D, sec</t>
    </r>
    <r>
      <rPr>
        <vertAlign val="superscript"/>
        <sz val="18"/>
        <color indexed="15"/>
        <rFont val="MS Sans Serif"/>
        <family val="2"/>
      </rPr>
      <t>-1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</si>
</sst>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  <numFmt numFmtId="166" formatCode=".0000"/>
    <numFmt numFmtId="167" formatCode=".000000"/>
    <numFmt numFmtId="168" formatCode=".00000"/>
    <numFmt numFmtId="169" formatCode="0&quot;,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5"/>
      <name val="Arial"/>
      <family val="2"/>
    </font>
    <font>
      <b/>
      <sz val="14"/>
      <color indexed="11"/>
      <name val="Arial"/>
      <family val="2"/>
    </font>
    <font>
      <b/>
      <sz val="12"/>
      <color indexed="11"/>
      <name val="Arial"/>
      <family val="2"/>
    </font>
    <font>
      <b/>
      <i/>
      <sz val="12"/>
      <color indexed="11"/>
      <name val="Arial"/>
      <family val="2"/>
    </font>
    <font>
      <b/>
      <sz val="12"/>
      <color indexed="15"/>
      <name val="Arial"/>
      <family val="2"/>
    </font>
    <font>
      <sz val="10"/>
      <color indexed="56"/>
      <name val="Arial"/>
      <family val="2"/>
    </font>
    <font>
      <b/>
      <sz val="12"/>
      <color indexed="51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14"/>
      <color indexed="46"/>
      <name val="Arial"/>
      <family val="2"/>
    </font>
    <font>
      <b/>
      <sz val="12"/>
      <color indexed="46"/>
      <name val="Arial"/>
      <family val="2"/>
    </font>
    <font>
      <b/>
      <sz val="10"/>
      <color indexed="11"/>
      <name val="MS Sans Serif"/>
      <family val="2"/>
    </font>
    <font>
      <b/>
      <u val="single"/>
      <sz val="22"/>
      <color indexed="13"/>
      <name val="Arial"/>
      <family val="2"/>
    </font>
    <font>
      <b/>
      <sz val="12"/>
      <color indexed="47"/>
      <name val="Arial"/>
      <family val="2"/>
    </font>
    <font>
      <sz val="10"/>
      <color indexed="46"/>
      <name val="Arial"/>
      <family val="2"/>
    </font>
    <font>
      <b/>
      <sz val="14"/>
      <color indexed="47"/>
      <name val="Arial"/>
      <family val="2"/>
    </font>
    <font>
      <b/>
      <sz val="12"/>
      <color indexed="12"/>
      <name val="Arial"/>
      <family val="2"/>
    </font>
    <font>
      <sz val="10"/>
      <color indexed="51"/>
      <name val="MS Sans Serif"/>
      <family val="2"/>
    </font>
    <font>
      <sz val="13.5"/>
      <color indexed="15"/>
      <name val="MS Sans Serif"/>
      <family val="2"/>
    </font>
    <font>
      <vertAlign val="subscript"/>
      <sz val="14"/>
      <color indexed="51"/>
      <name val="Arial"/>
      <family val="2"/>
    </font>
    <font>
      <b/>
      <i/>
      <sz val="14"/>
      <color indexed="51"/>
      <name val="Arial"/>
      <family val="2"/>
    </font>
    <font>
      <vertAlign val="subscript"/>
      <sz val="13.5"/>
      <color indexed="51"/>
      <name val="Arial"/>
      <family val="2"/>
    </font>
    <font>
      <sz val="13.5"/>
      <name val="Arial"/>
      <family val="2"/>
    </font>
    <font>
      <b/>
      <i/>
      <sz val="13.5"/>
      <color indexed="51"/>
      <name val="Arial"/>
      <family val="2"/>
    </font>
    <font>
      <sz val="18"/>
      <color indexed="15"/>
      <name val="MS Sans Serif"/>
      <family val="2"/>
    </font>
    <font>
      <vertAlign val="superscript"/>
      <sz val="18"/>
      <color indexed="15"/>
      <name val="MS Sans Serif"/>
      <family val="2"/>
    </font>
    <font>
      <sz val="16"/>
      <color indexed="15"/>
      <name val="Arial"/>
      <family val="2"/>
    </font>
    <font>
      <sz val="16"/>
      <color indexed="51"/>
      <name val="Arial"/>
      <family val="2"/>
    </font>
    <font>
      <b/>
      <u val="single"/>
      <sz val="22"/>
      <color indexed="51"/>
      <name val="Arial"/>
      <family val="2"/>
    </font>
    <font>
      <sz val="14"/>
      <color indexed="22"/>
      <name val="Arial"/>
      <family val="2"/>
    </font>
    <font>
      <sz val="14"/>
      <color indexed="51"/>
      <name val="Arial"/>
      <family val="2"/>
    </font>
    <font>
      <sz val="12"/>
      <color indexed="14"/>
      <name val="Arial"/>
      <family val="2"/>
    </font>
    <font>
      <b/>
      <i/>
      <sz val="12"/>
      <color indexed="14"/>
      <name val="Arial"/>
      <family val="2"/>
    </font>
    <font>
      <vertAlign val="subscript"/>
      <sz val="12"/>
      <color indexed="14"/>
      <name val="Arial"/>
      <family val="2"/>
    </font>
    <font>
      <b/>
      <u val="single"/>
      <sz val="12"/>
      <color indexed="14"/>
      <name val="Arial"/>
      <family val="2"/>
    </font>
    <font>
      <sz val="12"/>
      <color indexed="10"/>
      <name val="Arial"/>
      <family val="2"/>
    </font>
    <font>
      <sz val="12"/>
      <color indexed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 style="thick">
        <color indexed="47"/>
      </right>
      <top style="thick">
        <color indexed="47"/>
      </top>
      <bottom>
        <color indexed="63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 style="thick">
        <color indexed="47"/>
      </right>
      <top>
        <color indexed="63"/>
      </top>
      <bottom style="thick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>
        <color indexed="46"/>
      </right>
      <top style="thick">
        <color indexed="46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thick">
        <color indexed="46"/>
      </right>
      <top>
        <color indexed="63"/>
      </top>
      <bottom style="thick">
        <color indexed="46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left"/>
      <protection locked="0"/>
    </xf>
    <xf numFmtId="166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right"/>
      <protection locked="0"/>
    </xf>
    <xf numFmtId="0" fontId="0" fillId="6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6" fillId="6" borderId="0" xfId="0" applyFont="1" applyFill="1" applyAlignment="1" applyProtection="1">
      <alignment horizontal="centerContinuous"/>
      <protection hidden="1"/>
    </xf>
    <xf numFmtId="0" fontId="0" fillId="6" borderId="0" xfId="0" applyFill="1" applyAlignment="1" applyProtection="1">
      <alignment horizontal="centerContinuous"/>
      <protection hidden="1"/>
    </xf>
    <xf numFmtId="0" fontId="0" fillId="5" borderId="0" xfId="0" applyFill="1" applyAlignment="1" applyProtection="1">
      <alignment horizontal="centerContinuous"/>
      <protection hidden="1"/>
    </xf>
    <xf numFmtId="0" fontId="4" fillId="6" borderId="0" xfId="0" applyFont="1" applyFill="1" applyAlignment="1" applyProtection="1">
      <alignment horizontal="centerContinuous"/>
      <protection hidden="1"/>
    </xf>
    <xf numFmtId="0" fontId="5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29" fillId="6" borderId="0" xfId="0" applyFont="1" applyFill="1" applyAlignment="1" applyProtection="1">
      <alignment horizontal="centerContinuous"/>
      <protection hidden="1"/>
    </xf>
    <xf numFmtId="0" fontId="7" fillId="6" borderId="0" xfId="0" applyFont="1" applyFill="1" applyAlignment="1" applyProtection="1">
      <alignment horizontal="centerContinuous"/>
      <protection hidden="1"/>
    </xf>
    <xf numFmtId="0" fontId="13" fillId="6" borderId="0" xfId="0" applyFont="1" applyFill="1" applyAlignment="1" applyProtection="1">
      <alignment horizontal="centerContinuous"/>
      <protection hidden="1"/>
    </xf>
    <xf numFmtId="0" fontId="8" fillId="6" borderId="0" xfId="0" applyFont="1" applyFill="1" applyAlignment="1" applyProtection="1">
      <alignment horizontal="centerContinuous"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 horizontal="left"/>
      <protection hidden="1"/>
    </xf>
    <xf numFmtId="0" fontId="27" fillId="5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7" fillId="3" borderId="6" xfId="0" applyFont="1" applyFill="1" applyBorder="1" applyAlignment="1" applyProtection="1">
      <alignment horizontal="centerContinuous"/>
      <protection hidden="1"/>
    </xf>
    <xf numFmtId="0" fontId="7" fillId="3" borderId="7" xfId="0" applyFont="1" applyFill="1" applyBorder="1" applyAlignment="1" applyProtection="1">
      <alignment horizontal="centerContinuous"/>
      <protection hidden="1"/>
    </xf>
    <xf numFmtId="0" fontId="7" fillId="3" borderId="8" xfId="0" applyFont="1" applyFill="1" applyBorder="1" applyAlignment="1" applyProtection="1">
      <alignment horizontal="left"/>
      <protection hidden="1"/>
    </xf>
    <xf numFmtId="0" fontId="22" fillId="5" borderId="0" xfId="0" applyFont="1" applyFill="1" applyAlignment="1" applyProtection="1">
      <alignment/>
      <protection hidden="1"/>
    </xf>
    <xf numFmtId="0" fontId="6" fillId="2" borderId="9" xfId="0" applyFont="1" applyFill="1" applyBorder="1" applyAlignment="1" applyProtection="1">
      <alignment horizontal="right"/>
      <protection hidden="1"/>
    </xf>
    <xf numFmtId="0" fontId="5" fillId="3" borderId="1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/>
      <protection hidden="1"/>
    </xf>
    <xf numFmtId="0" fontId="17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 horizontal="centerContinuous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164" fontId="0" fillId="5" borderId="0" xfId="0" applyNumberFormat="1" applyFill="1" applyAlignment="1" applyProtection="1">
      <alignment/>
      <protection hidden="1"/>
    </xf>
    <xf numFmtId="0" fontId="11" fillId="5" borderId="0" xfId="0" applyFont="1" applyFill="1" applyAlignment="1" applyProtection="1">
      <alignment horizontal="centerContinuous"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5" fillId="3" borderId="12" xfId="0" applyFont="1" applyFill="1" applyBorder="1" applyAlignment="1" applyProtection="1">
      <alignment/>
      <protection hidden="1"/>
    </xf>
    <xf numFmtId="0" fontId="9" fillId="3" borderId="13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23" fillId="5" borderId="0" xfId="0" applyFont="1" applyFill="1" applyAlignment="1" applyProtection="1">
      <alignment horizontal="centerContinuous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1" fontId="5" fillId="7" borderId="14" xfId="0" applyNumberFormat="1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5" fillId="7" borderId="17" xfId="0" applyFont="1" applyFill="1" applyBorder="1" applyAlignment="1" applyProtection="1">
      <alignment horizontal="center"/>
      <protection hidden="1"/>
    </xf>
    <xf numFmtId="1" fontId="5" fillId="7" borderId="17" xfId="0" applyNumberFormat="1" applyFont="1" applyFill="1" applyBorder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Continuous"/>
      <protection hidden="1"/>
    </xf>
    <xf numFmtId="1" fontId="6" fillId="5" borderId="0" xfId="0" applyNumberFormat="1" applyFont="1" applyFill="1" applyBorder="1" applyAlignment="1" applyProtection="1">
      <alignment horizontal="centerContinuous"/>
      <protection hidden="1"/>
    </xf>
    <xf numFmtId="0" fontId="12" fillId="5" borderId="0" xfId="0" applyFont="1" applyFill="1" applyAlignment="1" applyProtection="1">
      <alignment/>
      <protection hidden="1"/>
    </xf>
    <xf numFmtId="0" fontId="14" fillId="5" borderId="0" xfId="0" applyFont="1" applyFill="1" applyBorder="1" applyAlignment="1" applyProtection="1">
      <alignment horizontal="centerContinuous"/>
      <protection hidden="1"/>
    </xf>
    <xf numFmtId="0" fontId="10" fillId="5" borderId="0" xfId="0" applyFont="1" applyFill="1" applyBorder="1" applyAlignment="1" applyProtection="1">
      <alignment horizontal="centerContinuous"/>
      <protection hidden="1"/>
    </xf>
    <xf numFmtId="169" fontId="5" fillId="4" borderId="18" xfId="0" applyNumberFormat="1" applyFont="1" applyFill="1" applyBorder="1" applyAlignment="1" applyProtection="1">
      <alignment horizontal="right"/>
      <protection hidden="1"/>
    </xf>
    <xf numFmtId="0" fontId="18" fillId="4" borderId="19" xfId="0" applyFont="1" applyFill="1" applyBorder="1" applyAlignment="1" applyProtection="1">
      <alignment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24" fillId="5" borderId="0" xfId="0" applyFont="1" applyFill="1" applyAlignment="1" applyProtection="1">
      <alignment/>
      <protection hidden="1"/>
    </xf>
    <xf numFmtId="0" fontId="30" fillId="8" borderId="21" xfId="0" applyFont="1" applyFill="1" applyBorder="1" applyAlignment="1" applyProtection="1">
      <alignment horizontal="centerContinuous"/>
      <protection hidden="1"/>
    </xf>
    <xf numFmtId="0" fontId="9" fillId="8" borderId="22" xfId="0" applyFont="1" applyFill="1" applyBorder="1" applyAlignment="1" applyProtection="1">
      <alignment horizontal="centerContinuous"/>
      <protection hidden="1"/>
    </xf>
    <xf numFmtId="0" fontId="15" fillId="5" borderId="0" xfId="0" applyFont="1" applyFill="1" applyAlignment="1" applyProtection="1">
      <alignment/>
      <protection hidden="1"/>
    </xf>
    <xf numFmtId="169" fontId="5" fillId="4" borderId="23" xfId="0" applyNumberFormat="1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 applyProtection="1">
      <alignment horizontal="right"/>
      <protection hidden="1"/>
    </xf>
    <xf numFmtId="0" fontId="6" fillId="8" borderId="24" xfId="0" applyFont="1" applyFill="1" applyBorder="1" applyAlignment="1" applyProtection="1">
      <alignment horizontal="right"/>
      <protection hidden="1"/>
    </xf>
    <xf numFmtId="2" fontId="9" fillId="8" borderId="25" xfId="0" applyNumberFormat="1" applyFont="1" applyFill="1" applyBorder="1" applyAlignment="1" applyProtection="1">
      <alignment horizontal="left"/>
      <protection hidden="1"/>
    </xf>
    <xf numFmtId="3" fontId="9" fillId="8" borderId="25" xfId="0" applyNumberFormat="1" applyFont="1" applyFill="1" applyBorder="1" applyAlignment="1" applyProtection="1">
      <alignment horizontal="left"/>
      <protection hidden="1"/>
    </xf>
    <xf numFmtId="0" fontId="15" fillId="6" borderId="0" xfId="0" applyFont="1" applyFill="1" applyAlignment="1" applyProtection="1">
      <alignment horizontal="right"/>
      <protection hidden="1"/>
    </xf>
    <xf numFmtId="168" fontId="9" fillId="8" borderId="25" xfId="0" applyNumberFormat="1" applyFont="1" applyFill="1" applyBorder="1" applyAlignment="1" applyProtection="1">
      <alignment horizontal="left"/>
      <protection hidden="1"/>
    </xf>
    <xf numFmtId="0" fontId="16" fillId="5" borderId="0" xfId="0" applyFont="1" applyFill="1" applyAlignment="1" applyProtection="1">
      <alignment/>
      <protection hidden="1"/>
    </xf>
    <xf numFmtId="167" fontId="9" fillId="8" borderId="25" xfId="0" applyNumberFormat="1" applyFont="1" applyFill="1" applyBorder="1" applyAlignment="1" applyProtection="1">
      <alignment horizontal="left"/>
      <protection hidden="1"/>
    </xf>
    <xf numFmtId="164" fontId="9" fillId="8" borderId="25" xfId="0" applyNumberFormat="1" applyFont="1" applyFill="1" applyBorder="1" applyAlignment="1" applyProtection="1">
      <alignment horizontal="left"/>
      <protection hidden="1"/>
    </xf>
    <xf numFmtId="0" fontId="5" fillId="6" borderId="0" xfId="0" applyFont="1" applyFill="1" applyAlignment="1" applyProtection="1">
      <alignment horizontal="right"/>
      <protection hidden="1"/>
    </xf>
    <xf numFmtId="0" fontId="5" fillId="9" borderId="23" xfId="0" applyFont="1" applyFill="1" applyBorder="1" applyAlignment="1" applyProtection="1">
      <alignment/>
      <protection hidden="1"/>
    </xf>
    <xf numFmtId="169" fontId="5" fillId="4" borderId="26" xfId="0" applyNumberFormat="1" applyFont="1" applyFill="1" applyBorder="1" applyAlignment="1" applyProtection="1">
      <alignment horizontal="right"/>
      <protection hidden="1"/>
    </xf>
    <xf numFmtId="0" fontId="18" fillId="4" borderId="27" xfId="0" applyFont="1" applyFill="1" applyBorder="1" applyAlignment="1" applyProtection="1">
      <alignment horizontal="right"/>
      <protection hidden="1"/>
    </xf>
    <xf numFmtId="0" fontId="7" fillId="4" borderId="28" xfId="0" applyFont="1" applyFill="1" applyBorder="1" applyAlignment="1" applyProtection="1">
      <alignment horizontal="left"/>
      <protection hidden="1"/>
    </xf>
    <xf numFmtId="0" fontId="28" fillId="5" borderId="0" xfId="0" applyFont="1" applyFill="1" applyAlignment="1" applyProtection="1">
      <alignment/>
      <protection hidden="1"/>
    </xf>
    <xf numFmtId="0" fontId="6" fillId="8" borderId="24" xfId="0" applyFont="1" applyFill="1" applyBorder="1" applyAlignment="1" applyProtection="1">
      <alignment horizontal="centerContinuous"/>
      <protection hidden="1"/>
    </xf>
    <xf numFmtId="0" fontId="5" fillId="8" borderId="25" xfId="0" applyFont="1" applyFill="1" applyBorder="1" applyAlignment="1" applyProtection="1">
      <alignment horizontal="centerContinuous"/>
      <protection hidden="1"/>
    </xf>
    <xf numFmtId="0" fontId="9" fillId="4" borderId="29" xfId="0" applyFont="1" applyFill="1" applyBorder="1" applyAlignment="1" applyProtection="1">
      <alignment horizontal="center"/>
      <protection hidden="1"/>
    </xf>
    <xf numFmtId="0" fontId="24" fillId="5" borderId="0" xfId="0" applyFont="1" applyFill="1" applyAlignment="1" applyProtection="1">
      <alignment horizontal="left"/>
      <protection hidden="1"/>
    </xf>
    <xf numFmtId="0" fontId="5" fillId="8" borderId="30" xfId="0" applyFont="1" applyFill="1" applyBorder="1" applyAlignment="1" applyProtection="1">
      <alignment horizontal="right"/>
      <protection hidden="1"/>
    </xf>
    <xf numFmtId="0" fontId="9" fillId="8" borderId="31" xfId="0" applyFont="1" applyFill="1" applyBorder="1" applyAlignment="1" applyProtection="1">
      <alignment horizontal="left"/>
      <protection hidden="1"/>
    </xf>
    <xf numFmtId="0" fontId="5" fillId="7" borderId="32" xfId="0" applyFont="1" applyFill="1" applyBorder="1" applyAlignment="1" applyProtection="1">
      <alignment/>
      <protection hidden="1"/>
    </xf>
    <xf numFmtId="1" fontId="5" fillId="7" borderId="32" xfId="0" applyNumberFormat="1" applyFont="1" applyFill="1" applyBorder="1" applyAlignment="1" applyProtection="1">
      <alignment horizontal="center"/>
      <protection hidden="1"/>
    </xf>
    <xf numFmtId="0" fontId="49" fillId="5" borderId="0" xfId="0" applyFont="1" applyFill="1" applyAlignment="1" applyProtection="1">
      <alignment/>
      <protection hidden="1"/>
    </xf>
    <xf numFmtId="0" fontId="48" fillId="5" borderId="0" xfId="0" applyFont="1" applyFill="1" applyAlignment="1" applyProtection="1">
      <alignment/>
      <protection hidden="1"/>
    </xf>
    <xf numFmtId="0" fontId="50" fillId="5" borderId="0" xfId="0" applyFont="1" applyFill="1" applyAlignment="1" applyProtection="1">
      <alignment/>
      <protection hidden="1"/>
    </xf>
    <xf numFmtId="0" fontId="45" fillId="5" borderId="0" xfId="0" applyFont="1" applyFill="1" applyAlignment="1" applyProtection="1">
      <alignment/>
      <protection hidden="1"/>
    </xf>
    <xf numFmtId="0" fontId="42" fillId="6" borderId="0" xfId="0" applyFont="1" applyFill="1" applyAlignment="1" applyProtection="1">
      <alignment/>
      <protection hidden="1"/>
    </xf>
    <xf numFmtId="0" fontId="42" fillId="6" borderId="0" xfId="0" applyFont="1" applyFill="1" applyAlignment="1" applyProtection="1">
      <alignment horizontal="centerContinuous"/>
      <protection hidden="1"/>
    </xf>
    <xf numFmtId="0" fontId="0" fillId="5" borderId="33" xfId="0" applyFill="1" applyBorder="1" applyAlignment="1" applyProtection="1">
      <alignment/>
      <protection hidden="1"/>
    </xf>
    <xf numFmtId="0" fontId="0" fillId="5" borderId="34" xfId="0" applyFill="1" applyBorder="1" applyAlignment="1" applyProtection="1">
      <alignment/>
      <protection hidden="1"/>
    </xf>
    <xf numFmtId="0" fontId="34" fillId="5" borderId="35" xfId="0" applyFont="1" applyFill="1" applyBorder="1" applyAlignment="1" applyProtection="1">
      <alignment vertical="center"/>
      <protection hidden="1"/>
    </xf>
    <xf numFmtId="0" fontId="0" fillId="5" borderId="36" xfId="0" applyFill="1" applyBorder="1" applyAlignment="1" applyProtection="1">
      <alignment/>
      <protection hidden="1"/>
    </xf>
    <xf numFmtId="0" fontId="0" fillId="5" borderId="37" xfId="0" applyFill="1" applyBorder="1" applyAlignment="1" applyProtection="1">
      <alignment/>
      <protection hidden="1"/>
    </xf>
    <xf numFmtId="0" fontId="31" fillId="5" borderId="37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38" xfId="0" applyFill="1" applyBorder="1" applyAlignment="1" applyProtection="1">
      <alignment horizontal="center"/>
      <protection hidden="1"/>
    </xf>
    <xf numFmtId="0" fontId="40" fillId="5" borderId="0" xfId="0" applyFont="1" applyFill="1" applyAlignment="1" applyProtection="1">
      <alignment horizontal="center"/>
      <protection hidden="1"/>
    </xf>
    <xf numFmtId="0" fontId="0" fillId="5" borderId="35" xfId="0" applyFill="1" applyBorder="1" applyAlignment="1" applyProtection="1">
      <alignment/>
      <protection hidden="1"/>
    </xf>
    <xf numFmtId="0" fontId="37" fillId="5" borderId="35" xfId="0" applyFont="1" applyFill="1" applyBorder="1" applyAlignment="1" applyProtection="1">
      <alignment vertical="center"/>
      <protection hidden="1"/>
    </xf>
    <xf numFmtId="0" fontId="36" fillId="0" borderId="35" xfId="0" applyFont="1" applyBorder="1" applyAlignment="1" applyProtection="1">
      <alignment vertical="center"/>
      <protection hidden="1"/>
    </xf>
    <xf numFmtId="0" fontId="0" fillId="5" borderId="39" xfId="0" applyFill="1" applyBorder="1" applyAlignment="1" applyProtection="1">
      <alignment/>
      <protection hidden="1"/>
    </xf>
    <xf numFmtId="0" fontId="0" fillId="5" borderId="40" xfId="0" applyFill="1" applyBorder="1" applyAlignment="1" applyProtection="1">
      <alignment/>
      <protection hidden="1"/>
    </xf>
    <xf numFmtId="0" fontId="38" fillId="5" borderId="0" xfId="0" applyFont="1" applyFill="1" applyAlignment="1" applyProtection="1">
      <alignment/>
      <protection hidden="1"/>
    </xf>
    <xf numFmtId="0" fontId="38" fillId="5" borderId="0" xfId="0" applyFont="1" applyFill="1" applyAlignment="1" applyProtection="1">
      <alignment horizontal="centerContinuous"/>
      <protection hidden="1"/>
    </xf>
    <xf numFmtId="0" fontId="34" fillId="5" borderId="0" xfId="0" applyFont="1" applyFill="1" applyBorder="1" applyAlignment="1" applyProtection="1">
      <alignment horizontal="left" vertical="center"/>
      <protection hidden="1"/>
    </xf>
    <xf numFmtId="0" fontId="41" fillId="5" borderId="0" xfId="0" applyFont="1" applyFill="1" applyAlignment="1" applyProtection="1">
      <alignment/>
      <protection hidden="1"/>
    </xf>
    <xf numFmtId="0" fontId="31" fillId="5" borderId="0" xfId="0" applyFont="1" applyFill="1" applyAlignment="1" applyProtection="1">
      <alignment/>
      <protection hidden="1"/>
    </xf>
    <xf numFmtId="0" fontId="37" fillId="5" borderId="0" xfId="0" applyFont="1" applyFill="1" applyBorder="1" applyAlignment="1" applyProtection="1">
      <alignment horizontal="left" vertical="center"/>
      <protection hidden="1"/>
    </xf>
    <xf numFmtId="0" fontId="44" fillId="5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2025"/>
          <c:w val="0.88725"/>
          <c:h val="0.91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FLOCALC!$E$12:$E$27</c:f>
              <c:numCache/>
            </c:numRef>
          </c:xVal>
          <c:yVal>
            <c:numRef>
              <c:f>FLOCALC!$K$12:$K$27</c:f>
              <c:numCache>
                <c:ptCount val="16"/>
                <c:pt idx="0">
                  <c:v>0.026357901872794732</c:v>
                </c:pt>
                <c:pt idx="1">
                  <c:v>0.8266433459337025</c:v>
                </c:pt>
                <c:pt idx="2">
                  <c:v>2.798803390181463</c:v>
                </c:pt>
                <c:pt idx="3">
                  <c:v>5.785229710600945</c:v>
                </c:pt>
                <c:pt idx="4">
                  <c:v>9.742879699364831</c:v>
                </c:pt>
                <c:pt idx="5">
                  <c:v>14.64959250786296</c:v>
                </c:pt>
                <c:pt idx="6">
                  <c:v>20.492086876554684</c:v>
                </c:pt>
                <c:pt idx="7">
                  <c:v>27.261689635535074</c:v>
                </c:pt>
                <c:pt idx="8">
                  <c:v>34.95240502185394</c:v>
                </c:pt>
                <c:pt idx="9">
                  <c:v>43.55991368581112</c:v>
                </c:pt>
                <c:pt idx="10">
                  <c:v>53.081004076970444</c:v>
                </c:pt>
                <c:pt idx="11">
                  <c:v>63.51322740930609</c:v>
                </c:pt>
                <c:pt idx="12">
                  <c:v>74.85467749150301</c:v>
                </c:pt>
                <c:pt idx="13">
                  <c:v>87.10384452253312</c:v>
                </c:pt>
                <c:pt idx="14">
                  <c:v>100.25951479730867</c:v>
                </c:pt>
                <c:pt idx="15">
                  <c:v>114.32070001596753</c:v>
                </c:pt>
              </c:numCache>
            </c:numRef>
          </c:yVal>
          <c:smooth val="0"/>
        </c:ser>
        <c:ser>
          <c:idx val="1"/>
          <c:order val="1"/>
          <c:tx>
            <c:v>FLOW CONDITION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FLOCALC!$C$6</c:f>
              <c:numCache/>
            </c:numRef>
          </c:xVal>
          <c:yVal>
            <c:numRef>
              <c:f>FLOCALC!$C$26</c:f>
              <c:numCache>
                <c:ptCount val="1"/>
                <c:pt idx="0">
                  <c:v>53.081004076970444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FLOCALC!$T$7</c:f>
              <c:numCache/>
            </c:numRef>
          </c:xVal>
          <c:yVal>
            <c:numRef>
              <c:f>FLOCALC!$U$7</c:f>
              <c:numCache>
                <c:ptCount val="1"/>
                <c:pt idx="0">
                  <c:v>53.08110407697045</c:v>
                </c:pt>
              </c:numCache>
            </c:numRef>
          </c:yVal>
          <c:smooth val="0"/>
        </c:ser>
        <c:axId val="47273174"/>
        <c:axId val="22805383"/>
      </c:scatterChart>
      <c:val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MS Sans Serif"/>
                    <a:ea typeface="MS Sans Serif"/>
                    <a:cs typeface="MS Sans Serif"/>
                  </a:rPr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2805383"/>
        <c:crosses val="autoZero"/>
        <c:crossBetween val="midCat"/>
        <c:dispUnits/>
      </c:val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MS Sans Serif"/>
                    <a:ea typeface="MS Sans Serif"/>
                    <a:cs typeface="MS Sans Serif"/>
                  </a:rPr>
                  <a:t>HEAD,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7273174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5</xdr:row>
      <xdr:rowOff>180975</xdr:rowOff>
    </xdr:from>
    <xdr:to>
      <xdr:col>22</xdr:col>
      <xdr:colOff>95250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7429500" y="1304925"/>
        <a:ext cx="38004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8</xdr:col>
      <xdr:colOff>95250</xdr:colOff>
      <xdr:row>32</xdr:row>
      <xdr:rowOff>0</xdr:rowOff>
    </xdr:to>
    <xdr:sp>
      <xdr:nvSpPr>
        <xdr:cNvPr id="1" name="AutoShape 4"/>
        <xdr:cNvSpPr>
          <a:spLocks/>
        </xdr:cNvSpPr>
      </xdr:nvSpPr>
      <xdr:spPr>
        <a:xfrm flipV="1">
          <a:off x="2105025" y="2286000"/>
          <a:ext cx="2238375" cy="3343275"/>
        </a:xfrm>
        <a:prstGeom prst="straightConnector1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76200</xdr:rowOff>
    </xdr:from>
    <xdr:to>
      <xdr:col>8</xdr:col>
      <xdr:colOff>190500</xdr:colOff>
      <xdr:row>12</xdr:row>
      <xdr:rowOff>9525</xdr:rowOff>
    </xdr:to>
    <xdr:sp>
      <xdr:nvSpPr>
        <xdr:cNvPr id="2" name="AutoShape 5"/>
        <xdr:cNvSpPr>
          <a:spLocks noChangeAspect="1"/>
        </xdr:cNvSpPr>
      </xdr:nvSpPr>
      <xdr:spPr>
        <a:xfrm rot="1620000">
          <a:off x="4333875" y="2200275"/>
          <a:ext cx="104775" cy="95250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4</xdr:row>
      <xdr:rowOff>85725</xdr:rowOff>
    </xdr:from>
    <xdr:to>
      <xdr:col>13</xdr:col>
      <xdr:colOff>600075</xdr:colOff>
      <xdr:row>11</xdr:row>
      <xdr:rowOff>85725</xdr:rowOff>
    </xdr:to>
    <xdr:sp>
      <xdr:nvSpPr>
        <xdr:cNvPr id="3" name="AutoShape 6"/>
        <xdr:cNvSpPr>
          <a:spLocks/>
        </xdr:cNvSpPr>
      </xdr:nvSpPr>
      <xdr:spPr>
        <a:xfrm flipV="1">
          <a:off x="4419600" y="923925"/>
          <a:ext cx="3362325" cy="1285875"/>
        </a:xfrm>
        <a:prstGeom prst="straightConnector1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447675</xdr:colOff>
      <xdr:row>5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781425" y="676275"/>
          <a:ext cx="1400175" cy="3238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50" b="0" i="0" u="none" baseline="0">
              <a:solidFill>
                <a:srgbClr val="00FFFF"/>
              </a:solidFill>
              <a:latin typeface="MS Sans Serif"/>
              <a:ea typeface="MS Sans Serif"/>
              <a:cs typeface="MS Sans Serif"/>
            </a:rPr>
            <a:t>Flow Condition</a:t>
          </a:r>
        </a:p>
      </xdr:txBody>
    </xdr:sp>
    <xdr:clientData/>
  </xdr:twoCellAnchor>
  <xdr:twoCellAnchor>
    <xdr:from>
      <xdr:col>8</xdr:col>
      <xdr:colOff>85725</xdr:colOff>
      <xdr:row>4</xdr:row>
      <xdr:rowOff>85725</xdr:rowOff>
    </xdr:from>
    <xdr:to>
      <xdr:col>8</xdr:col>
      <xdr:colOff>95250</xdr:colOff>
      <xdr:row>10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333875" y="923925"/>
          <a:ext cx="9525" cy="1171575"/>
        </a:xfrm>
        <a:custGeom>
          <a:pathLst>
            <a:path h="116" w="1">
              <a:moveTo>
                <a:pt x="0" y="0"/>
              </a:moveTo>
              <a:lnTo>
                <a:pt x="0" y="43"/>
              </a:lnTo>
              <a:lnTo>
                <a:pt x="0" y="116"/>
              </a:lnTo>
            </a:path>
          </a:pathLst>
        </a:custGeom>
        <a:noFill/>
        <a:ln w="9525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9525</xdr:rowOff>
    </xdr:from>
    <xdr:to>
      <xdr:col>8</xdr:col>
      <xdr:colOff>104775</xdr:colOff>
      <xdr:row>32</xdr:row>
      <xdr:rowOff>0</xdr:rowOff>
    </xdr:to>
    <xdr:sp>
      <xdr:nvSpPr>
        <xdr:cNvPr id="6" name="Line 13"/>
        <xdr:cNvSpPr>
          <a:spLocks/>
        </xdr:cNvSpPr>
      </xdr:nvSpPr>
      <xdr:spPr>
        <a:xfrm>
          <a:off x="4352925" y="2295525"/>
          <a:ext cx="0" cy="333375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95250</xdr:colOff>
      <xdr:row>12</xdr:row>
      <xdr:rowOff>0</xdr:rowOff>
    </xdr:to>
    <xdr:sp>
      <xdr:nvSpPr>
        <xdr:cNvPr id="7" name="Line 14"/>
        <xdr:cNvSpPr>
          <a:spLocks/>
        </xdr:cNvSpPr>
      </xdr:nvSpPr>
      <xdr:spPr>
        <a:xfrm flipH="1">
          <a:off x="2105025" y="2286000"/>
          <a:ext cx="223837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3</xdr:col>
      <xdr:colOff>200025</xdr:colOff>
      <xdr:row>11</xdr:row>
      <xdr:rowOff>9525</xdr:rowOff>
    </xdr:from>
    <xdr:to>
      <xdr:col>3</xdr:col>
      <xdr:colOff>581025</xdr:colOff>
      <xdr:row>13</xdr:row>
      <xdr:rowOff>47625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133600"/>
          <a:ext cx="381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8</xdr:col>
      <xdr:colOff>85725</xdr:colOff>
      <xdr:row>16</xdr:row>
      <xdr:rowOff>152400</xdr:rowOff>
    </xdr:to>
    <xdr:sp>
      <xdr:nvSpPr>
        <xdr:cNvPr id="9" name="Line 22"/>
        <xdr:cNvSpPr>
          <a:spLocks/>
        </xdr:cNvSpPr>
      </xdr:nvSpPr>
      <xdr:spPr>
        <a:xfrm flipH="1">
          <a:off x="2105025" y="2286000"/>
          <a:ext cx="2228850" cy="800100"/>
        </a:xfrm>
        <a:prstGeom prst="line">
          <a:avLst/>
        </a:prstGeom>
        <a:noFill/>
        <a:ln w="31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152400</xdr:rowOff>
    </xdr:from>
    <xdr:to>
      <xdr:col>4</xdr:col>
      <xdr:colOff>0</xdr:colOff>
      <xdr:row>16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485900" y="3086100"/>
          <a:ext cx="619125" cy="0"/>
        </a:xfrm>
        <a:prstGeom prst="lin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371475</xdr:colOff>
      <xdr:row>88</xdr:row>
      <xdr:rowOff>95250</xdr:rowOff>
    </xdr:from>
    <xdr:to>
      <xdr:col>5</xdr:col>
      <xdr:colOff>219075</xdr:colOff>
      <xdr:row>88</xdr:row>
      <xdr:rowOff>95250</xdr:rowOff>
    </xdr:to>
    <xdr:sp>
      <xdr:nvSpPr>
        <xdr:cNvPr id="11" name="Line 24"/>
        <xdr:cNvSpPr>
          <a:spLocks/>
        </xdr:cNvSpPr>
      </xdr:nvSpPr>
      <xdr:spPr>
        <a:xfrm flipH="1">
          <a:off x="2476500" y="15478125"/>
          <a:ext cx="619125" cy="0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161925</xdr:rowOff>
    </xdr:from>
    <xdr:to>
      <xdr:col>4</xdr:col>
      <xdr:colOff>0</xdr:colOff>
      <xdr:row>31</xdr:row>
      <xdr:rowOff>161925</xdr:rowOff>
    </xdr:to>
    <xdr:sp>
      <xdr:nvSpPr>
        <xdr:cNvPr id="12" name="Line 25"/>
        <xdr:cNvSpPr>
          <a:spLocks/>
        </xdr:cNvSpPr>
      </xdr:nvSpPr>
      <xdr:spPr>
        <a:xfrm flipH="1">
          <a:off x="1485900" y="5619750"/>
          <a:ext cx="619125" cy="0"/>
        </a:xfrm>
        <a:prstGeom prst="lin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152400</xdr:rowOff>
    </xdr:from>
    <xdr:to>
      <xdr:col>3</xdr:col>
      <xdr:colOff>238125</xdr:colOff>
      <xdr:row>23</xdr:row>
      <xdr:rowOff>0</xdr:rowOff>
    </xdr:to>
    <xdr:sp>
      <xdr:nvSpPr>
        <xdr:cNvPr id="13" name="Line 26"/>
        <xdr:cNvSpPr>
          <a:spLocks/>
        </xdr:cNvSpPr>
      </xdr:nvSpPr>
      <xdr:spPr>
        <a:xfrm flipV="1">
          <a:off x="1724025" y="3086100"/>
          <a:ext cx="0" cy="1019175"/>
        </a:xfrm>
        <a:prstGeom prst="line">
          <a:avLst/>
        </a:prstGeom>
        <a:noFill/>
        <a:ln w="3175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85725</xdr:rowOff>
    </xdr:from>
    <xdr:to>
      <xdr:col>3</xdr:col>
      <xdr:colOff>238125</xdr:colOff>
      <xdr:row>31</xdr:row>
      <xdr:rowOff>161925</xdr:rowOff>
    </xdr:to>
    <xdr:sp>
      <xdr:nvSpPr>
        <xdr:cNvPr id="14" name="Line 27"/>
        <xdr:cNvSpPr>
          <a:spLocks/>
        </xdr:cNvSpPr>
      </xdr:nvSpPr>
      <xdr:spPr>
        <a:xfrm>
          <a:off x="1724025" y="4572000"/>
          <a:ext cx="0" cy="1047750"/>
        </a:xfrm>
        <a:prstGeom prst="line">
          <a:avLst/>
        </a:prstGeom>
        <a:noFill/>
        <a:ln w="3175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absolute">
    <xdr:from>
      <xdr:col>0</xdr:col>
      <xdr:colOff>476250</xdr:colOff>
      <xdr:row>9</xdr:row>
      <xdr:rowOff>152400</xdr:rowOff>
    </xdr:from>
    <xdr:to>
      <xdr:col>2</xdr:col>
      <xdr:colOff>457200</xdr:colOff>
      <xdr:row>16</xdr:row>
      <xdr:rowOff>47625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476250" y="1952625"/>
          <a:ext cx="971550" cy="1028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Shear
Stress
in
Pascals</a:t>
          </a:r>
        </a:p>
      </xdr:txBody>
    </xdr:sp>
    <xdr:clientData/>
  </xdr:twoCellAnchor>
  <xdr:twoCellAnchor>
    <xdr:from>
      <xdr:col>3</xdr:col>
      <xdr:colOff>95250</xdr:colOff>
      <xdr:row>23</xdr:row>
      <xdr:rowOff>76200</xdr:rowOff>
    </xdr:from>
    <xdr:to>
      <xdr:col>3</xdr:col>
      <xdr:colOff>400050</xdr:colOff>
      <xdr:row>25</xdr:row>
      <xdr:rowOff>47625</xdr:rowOff>
    </xdr:to>
    <xdr:grpSp>
      <xdr:nvGrpSpPr>
        <xdr:cNvPr id="16" name="Group 34"/>
        <xdr:cNvGrpSpPr>
          <a:grpSpLocks/>
        </xdr:cNvGrpSpPr>
      </xdr:nvGrpSpPr>
      <xdr:grpSpPr>
        <a:xfrm>
          <a:off x="1581150" y="4181475"/>
          <a:ext cx="304800" cy="352425"/>
          <a:chOff x="73" y="817"/>
          <a:chExt cx="32" cy="33"/>
        </a:xfrm>
        <a:solidFill>
          <a:srgbClr val="FFFFFF"/>
        </a:solidFill>
      </xdr:grpSpPr>
      <xdr:pic>
        <xdr:nvPicPr>
          <xdr:cNvPr id="17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" y="817"/>
            <a:ext cx="32" cy="2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" y="833"/>
            <a:ext cx="9" cy="17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2</xdr:col>
      <xdr:colOff>276225</xdr:colOff>
      <xdr:row>31</xdr:row>
      <xdr:rowOff>19050</xdr:rowOff>
    </xdr:from>
    <xdr:to>
      <xdr:col>2</xdr:col>
      <xdr:colOff>457200</xdr:colOff>
      <xdr:row>32</xdr:row>
      <xdr:rowOff>114300</xdr:rowOff>
    </xdr:to>
    <xdr:sp>
      <xdr:nvSpPr>
        <xdr:cNvPr id="19" name="TextBox 36"/>
        <xdr:cNvSpPr txBox="1">
          <a:spLocks noChangeArrowheads="1"/>
        </xdr:cNvSpPr>
      </xdr:nvSpPr>
      <xdr:spPr>
        <a:xfrm>
          <a:off x="1266825" y="54768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C0C0C0"/>
              </a:solidFill>
            </a:rPr>
            <a:t>o</a:t>
          </a:r>
        </a:p>
      </xdr:txBody>
    </xdr:sp>
    <xdr:clientData/>
  </xdr:twoCellAnchor>
  <xdr:twoCellAnchor>
    <xdr:from>
      <xdr:col>3</xdr:col>
      <xdr:colOff>533400</xdr:colOff>
      <xdr:row>32</xdr:row>
      <xdr:rowOff>152400</xdr:rowOff>
    </xdr:from>
    <xdr:to>
      <xdr:col>4</xdr:col>
      <xdr:colOff>95250</xdr:colOff>
      <xdr:row>33</xdr:row>
      <xdr:rowOff>257175</xdr:rowOff>
    </xdr:to>
    <xdr:sp>
      <xdr:nvSpPr>
        <xdr:cNvPr id="20" name="TextBox 37"/>
        <xdr:cNvSpPr txBox="1">
          <a:spLocks noChangeArrowheads="1"/>
        </xdr:cNvSpPr>
      </xdr:nvSpPr>
      <xdr:spPr>
        <a:xfrm>
          <a:off x="2019300" y="57816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C0C0C0"/>
              </a:solidFill>
            </a:rPr>
            <a:t>o</a:t>
          </a:r>
        </a:p>
      </xdr:txBody>
    </xdr:sp>
    <xdr:clientData/>
  </xdr:twoCellAnchor>
  <xdr:twoCellAnchor>
    <xdr:from>
      <xdr:col>4</xdr:col>
      <xdr:colOff>0</xdr:colOff>
      <xdr:row>31</xdr:row>
      <xdr:rowOff>161925</xdr:rowOff>
    </xdr:from>
    <xdr:to>
      <xdr:col>4</xdr:col>
      <xdr:colOff>0</xdr:colOff>
      <xdr:row>33</xdr:row>
      <xdr:rowOff>9525</xdr:rowOff>
    </xdr:to>
    <xdr:sp>
      <xdr:nvSpPr>
        <xdr:cNvPr id="21" name="Line 38"/>
        <xdr:cNvSpPr>
          <a:spLocks/>
        </xdr:cNvSpPr>
      </xdr:nvSpPr>
      <xdr:spPr>
        <a:xfrm>
          <a:off x="2105025" y="5619750"/>
          <a:ext cx="0" cy="180975"/>
        </a:xfrm>
        <a:prstGeom prst="lin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37</xdr:row>
      <xdr:rowOff>28575</xdr:rowOff>
    </xdr:from>
    <xdr:to>
      <xdr:col>2</xdr:col>
      <xdr:colOff>219075</xdr:colOff>
      <xdr:row>38</xdr:row>
      <xdr:rowOff>19050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6772275"/>
          <a:ext cx="2095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38100</xdr:rowOff>
    </xdr:from>
    <xdr:to>
      <xdr:col>2</xdr:col>
      <xdr:colOff>228600</xdr:colOff>
      <xdr:row>38</xdr:row>
      <xdr:rowOff>228600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038975"/>
          <a:ext cx="2095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showOutlineSymbols="0" workbookViewId="0" topLeftCell="A1">
      <selection activeCell="Y40" sqref="Y40"/>
    </sheetView>
  </sheetViews>
  <sheetFormatPr defaultColWidth="9.140625" defaultRowHeight="12.75" outlineLevelCol="1"/>
  <cols>
    <col min="1" max="1" width="7.421875" style="9" customWidth="1"/>
    <col min="2" max="2" width="29.57421875" style="9" customWidth="1"/>
    <col min="3" max="3" width="11.57421875" style="9" customWidth="1"/>
    <col min="4" max="4" width="6.8515625" style="9" customWidth="1"/>
    <col min="5" max="5" width="6.7109375" style="9" customWidth="1"/>
    <col min="6" max="10" width="0" style="9" hidden="1" customWidth="1" outlineLevel="1"/>
    <col min="11" max="11" width="7.00390625" style="9" customWidth="1" collapsed="1"/>
    <col min="12" max="12" width="7.28125" style="9" customWidth="1"/>
    <col min="13" max="13" width="10.140625" style="9" customWidth="1"/>
    <col min="14" max="14" width="11.00390625" style="9" customWidth="1"/>
    <col min="15" max="15" width="5.421875" style="9" customWidth="1"/>
    <col min="16" max="16384" width="9.140625" style="9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ht="27.75">
      <c r="A2" s="10" t="s">
        <v>0</v>
      </c>
      <c r="B2" s="11"/>
      <c r="C2" s="11"/>
      <c r="D2" s="11"/>
      <c r="E2" s="12"/>
      <c r="F2" s="13"/>
      <c r="G2" s="13"/>
      <c r="H2" s="13"/>
      <c r="I2" s="13"/>
      <c r="J2" s="13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8"/>
      <c r="X2" s="8"/>
    </row>
    <row r="3" spans="1:24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8"/>
      <c r="S3" s="8"/>
      <c r="T3" s="8"/>
      <c r="U3" s="8"/>
      <c r="V3" s="8"/>
      <c r="W3" s="8"/>
      <c r="X3" s="8"/>
    </row>
    <row r="4" spans="1:24" ht="18.75" thickBot="1">
      <c r="A4" s="14"/>
      <c r="B4" s="16" t="s">
        <v>1</v>
      </c>
      <c r="C4" s="17"/>
      <c r="D4" s="14"/>
      <c r="E4" s="14"/>
      <c r="F4" s="14"/>
      <c r="G4" s="14"/>
      <c r="H4" s="14"/>
      <c r="I4" s="14"/>
      <c r="J4" s="14"/>
      <c r="K4" s="14"/>
      <c r="L4" s="18" t="s">
        <v>67</v>
      </c>
      <c r="M4" s="19"/>
      <c r="N4" s="17"/>
      <c r="O4" s="17"/>
      <c r="P4" s="14"/>
      <c r="Q4" s="14"/>
      <c r="R4" s="8"/>
      <c r="S4" s="8"/>
      <c r="T4" s="8"/>
      <c r="U4" s="8"/>
      <c r="V4" s="8"/>
      <c r="W4" s="8"/>
      <c r="X4" s="8"/>
    </row>
    <row r="5" spans="1:24" ht="16.5" thickTop="1">
      <c r="A5" s="14"/>
      <c r="B5" s="20"/>
      <c r="C5" s="21"/>
      <c r="D5" s="22"/>
      <c r="E5" s="23"/>
      <c r="F5" s="23"/>
      <c r="G5" s="23"/>
      <c r="H5" s="23"/>
      <c r="I5" s="23"/>
      <c r="J5" s="23"/>
      <c r="K5" s="23"/>
      <c r="L5" s="24"/>
      <c r="M5" s="25"/>
      <c r="N5" s="25"/>
      <c r="O5" s="26"/>
      <c r="P5" s="27"/>
      <c r="Q5" s="23"/>
      <c r="R5" s="8"/>
      <c r="S5" s="8"/>
      <c r="T5" s="8"/>
      <c r="U5" s="8"/>
      <c r="V5" s="8"/>
      <c r="W5" s="8"/>
      <c r="X5" s="8"/>
    </row>
    <row r="6" spans="1:24" ht="18">
      <c r="A6" s="14"/>
      <c r="B6" s="28" t="s">
        <v>2</v>
      </c>
      <c r="C6" s="1">
        <v>13</v>
      </c>
      <c r="D6" s="22" t="s">
        <v>3</v>
      </c>
      <c r="E6" s="23"/>
      <c r="F6" s="23"/>
      <c r="G6" s="23"/>
      <c r="H6" s="23"/>
      <c r="I6" s="23"/>
      <c r="J6" s="23"/>
      <c r="K6" s="23"/>
      <c r="L6" s="29"/>
      <c r="M6" s="30"/>
      <c r="N6" s="31" t="s">
        <v>4</v>
      </c>
      <c r="O6" s="4">
        <v>0</v>
      </c>
      <c r="P6" s="32" t="s">
        <v>5</v>
      </c>
      <c r="Q6" s="23"/>
      <c r="R6" s="33" t="str">
        <f>IF(AND(O6=0,O7=C11)=TRUE,"Newtonian Fluid","Yield Stress Fluid")</f>
        <v>Newtonian Fluid</v>
      </c>
      <c r="S6" s="12"/>
      <c r="T6" s="12"/>
      <c r="U6" s="12"/>
      <c r="V6" s="12"/>
      <c r="W6" s="8"/>
      <c r="X6" s="8"/>
    </row>
    <row r="7" spans="1:24" ht="15.75">
      <c r="A7" s="14"/>
      <c r="B7" s="28" t="s">
        <v>6</v>
      </c>
      <c r="C7" s="1">
        <v>0.785</v>
      </c>
      <c r="D7" s="22" t="s">
        <v>7</v>
      </c>
      <c r="E7" s="23"/>
      <c r="F7" s="23"/>
      <c r="G7" s="23"/>
      <c r="H7" s="23"/>
      <c r="I7" s="23"/>
      <c r="J7" s="23"/>
      <c r="K7" s="23"/>
      <c r="L7" s="29"/>
      <c r="M7" s="30"/>
      <c r="N7" s="34" t="s">
        <v>8</v>
      </c>
      <c r="O7" s="4">
        <v>1</v>
      </c>
      <c r="P7" s="32" t="s">
        <v>9</v>
      </c>
      <c r="Q7" s="23"/>
      <c r="R7" s="8"/>
      <c r="S7" s="8"/>
      <c r="T7" s="8">
        <f>C6+0.0001</f>
        <v>13.0001</v>
      </c>
      <c r="U7" s="35">
        <f>C26+0.0001</f>
        <v>53.08110407697045</v>
      </c>
      <c r="V7" s="8"/>
      <c r="W7" s="8"/>
      <c r="X7" s="8"/>
    </row>
    <row r="8" spans="1:24" ht="16.5" thickBot="1">
      <c r="A8" s="14"/>
      <c r="B8" s="28" t="s">
        <v>10</v>
      </c>
      <c r="C8" s="1">
        <v>100</v>
      </c>
      <c r="D8" s="22" t="s">
        <v>11</v>
      </c>
      <c r="E8" s="36" t="s">
        <v>12</v>
      </c>
      <c r="F8" s="36"/>
      <c r="G8" s="36"/>
      <c r="H8" s="36"/>
      <c r="I8" s="36"/>
      <c r="J8" s="36"/>
      <c r="K8" s="36"/>
      <c r="L8" s="37"/>
      <c r="M8" s="38"/>
      <c r="N8" s="38"/>
      <c r="O8" s="39"/>
      <c r="P8" s="27"/>
      <c r="Q8" s="23"/>
      <c r="R8" s="8"/>
      <c r="S8" s="8"/>
      <c r="T8" s="8"/>
      <c r="U8" s="8"/>
      <c r="V8" s="8"/>
      <c r="W8" s="8"/>
      <c r="X8" s="8"/>
    </row>
    <row r="9" spans="1:24" ht="16.5" thickTop="1">
      <c r="A9" s="14"/>
      <c r="B9" s="28" t="s">
        <v>13</v>
      </c>
      <c r="C9" s="2">
        <v>0.001</v>
      </c>
      <c r="D9" s="22" t="s">
        <v>14</v>
      </c>
      <c r="E9" s="36" t="s">
        <v>15</v>
      </c>
      <c r="F9" s="36"/>
      <c r="G9" s="36"/>
      <c r="H9" s="36"/>
      <c r="I9" s="36"/>
      <c r="J9" s="36"/>
      <c r="K9" s="36"/>
      <c r="L9" s="40"/>
      <c r="M9" s="40"/>
      <c r="N9" s="40"/>
      <c r="O9" s="41"/>
      <c r="P9" s="23"/>
      <c r="Q9" s="23"/>
      <c r="R9" s="8"/>
      <c r="S9" s="8"/>
      <c r="T9" s="8"/>
      <c r="U9" s="8"/>
      <c r="V9" s="8"/>
      <c r="W9" s="8"/>
      <c r="X9" s="8"/>
    </row>
    <row r="10" spans="1:24" ht="18">
      <c r="A10" s="14"/>
      <c r="B10" s="28" t="s">
        <v>16</v>
      </c>
      <c r="C10" s="3">
        <v>62.43</v>
      </c>
      <c r="D10" s="22" t="s">
        <v>17</v>
      </c>
      <c r="E10" s="42" t="s">
        <v>18</v>
      </c>
      <c r="F10" s="42" t="s">
        <v>19</v>
      </c>
      <c r="G10" s="42" t="s">
        <v>20</v>
      </c>
      <c r="H10" s="42" t="s">
        <v>21</v>
      </c>
      <c r="I10" s="42" t="s">
        <v>22</v>
      </c>
      <c r="J10" s="42" t="s">
        <v>23</v>
      </c>
      <c r="K10" s="42" t="s">
        <v>24</v>
      </c>
      <c r="L10" s="23"/>
      <c r="M10" s="43"/>
      <c r="N10" s="36"/>
      <c r="O10" s="36"/>
      <c r="P10" s="23"/>
      <c r="Q10" s="23"/>
      <c r="R10" s="8"/>
      <c r="S10" s="8"/>
      <c r="T10" s="8"/>
      <c r="U10" s="8"/>
      <c r="V10" s="8"/>
      <c r="W10" s="8"/>
      <c r="X10" s="8"/>
    </row>
    <row r="11" spans="1:24" ht="15.75">
      <c r="A11" s="14"/>
      <c r="B11" s="28" t="s">
        <v>26</v>
      </c>
      <c r="C11" s="1">
        <v>1</v>
      </c>
      <c r="D11" s="22" t="s">
        <v>27</v>
      </c>
      <c r="E11" s="44"/>
      <c r="F11" s="44"/>
      <c r="G11" s="44"/>
      <c r="H11" s="44"/>
      <c r="I11" s="44"/>
      <c r="J11" s="44"/>
      <c r="K11" s="45"/>
      <c r="L11" s="23"/>
      <c r="M11" s="8"/>
      <c r="N11" s="8"/>
      <c r="O11" s="8"/>
      <c r="P11" s="8"/>
      <c r="Q11" s="23"/>
      <c r="R11" s="8"/>
      <c r="S11" s="8"/>
      <c r="T11" s="8"/>
      <c r="U11" s="8"/>
      <c r="V11" s="8"/>
      <c r="W11" s="8"/>
      <c r="X11" s="8"/>
    </row>
    <row r="12" spans="1:24" ht="16.5" thickBot="1">
      <c r="A12" s="14"/>
      <c r="B12" s="46"/>
      <c r="C12" s="47"/>
      <c r="D12" s="22"/>
      <c r="E12" s="48">
        <f>IF(O6=" ",0,0.01*C6)</f>
        <v>0.13</v>
      </c>
      <c r="F12" s="48">
        <f aca="true" t="shared" si="0" ref="F12:F27">E12/(PI()*$C$7^2/4/144)/7.481/60</f>
        <v>0.08617191500627008</v>
      </c>
      <c r="G12" s="48">
        <f aca="true" t="shared" si="1" ref="G12:G27">$C$10*$C$7/12*F12/I12*1488</f>
        <v>523.6612297249259</v>
      </c>
      <c r="H12" s="48">
        <f aca="true" t="shared" si="2" ref="H12:H27">IF(G12&lt;2100,16/G12,(-1.7371*LN($C$9/3.7/$C$7+1.255/G12/(H12)^0.5))^-2)</f>
        <v>0.030554104622953743</v>
      </c>
      <c r="I12" s="48">
        <f aca="true" t="shared" si="3" ref="I12:I27">IF(AND(ISNUMBER($O$6)=TRUE,ISNUMBER($O$7)=TRUE),1000*$O$6/(8*F12/$C$7*12)+$O$7,$C$11)</f>
        <v>1</v>
      </c>
      <c r="J12" s="48">
        <f aca="true" t="shared" si="4" ref="J12:J27">IF(G12&lt;2100,32*I12/1488*$C$8*4*E12/7.481/60/(PI()*32.17*($C$7/12)^4)/144,32*H12*$C$8*E12^2*$C$10/(PI()^2*32.17*($C$7/12)^5*7.481^2*60^2*144))</f>
        <v>0.009348079930003039</v>
      </c>
      <c r="K12" s="49">
        <f aca="true" t="shared" si="5" ref="K12:K27">(IF(G12&lt;2100,32*I12/1488*$C$8*4*E12/7.481/60/(PI()*32.17*($C$7/12)^4)/144,32*H12*$C$8*E12^2*$C$10/(PI()^2*32.17*($C$7/12)^5*7.481^2*60^2*144))+IF($O$21=" ",0,$O$21)+IF($M$25="X",$O$25/$C$8*J12,IF($M$24="X",$C$10*F12^2/2/32.17/144*IF(G12&lt;50,RE50,IF(G12&lt;100,RE100,IF(G12&lt;500,RE500,IF(G12&lt;2100,RE2000,RE2000)))),0)))*144/$C$10</f>
        <v>0.026357901872794732</v>
      </c>
      <c r="L12" s="23"/>
      <c r="M12" s="8"/>
      <c r="N12" s="8"/>
      <c r="O12" s="8"/>
      <c r="P12" s="8"/>
      <c r="Q12" s="23"/>
      <c r="R12" s="8"/>
      <c r="S12" s="8"/>
      <c r="T12" s="8"/>
      <c r="U12" s="8"/>
      <c r="V12" s="8"/>
      <c r="W12" s="8"/>
      <c r="X12" s="8"/>
    </row>
    <row r="13" spans="1:24" ht="19.5" thickBot="1" thickTop="1">
      <c r="A13" s="14"/>
      <c r="B13" s="40"/>
      <c r="C13" s="40"/>
      <c r="D13" s="23"/>
      <c r="E13" s="48">
        <f>0.1*$C$6</f>
        <v>1.3</v>
      </c>
      <c r="F13" s="48">
        <f t="shared" si="0"/>
        <v>0.8617191500627007</v>
      </c>
      <c r="G13" s="48">
        <f t="shared" si="1"/>
        <v>5236.6122972492585</v>
      </c>
      <c r="H13" s="48">
        <f t="shared" si="2"/>
        <v>0.009582457435125447</v>
      </c>
      <c r="I13" s="48">
        <f t="shared" si="3"/>
        <v>1</v>
      </c>
      <c r="J13" s="48">
        <f t="shared" si="4"/>
        <v>0.2931769041666156</v>
      </c>
      <c r="K13" s="49">
        <f t="shared" si="5"/>
        <v>0.826643345933702</v>
      </c>
      <c r="L13" s="23"/>
      <c r="M13" s="43" t="s">
        <v>25</v>
      </c>
      <c r="N13" s="50"/>
      <c r="O13" s="51"/>
      <c r="P13" s="52"/>
      <c r="Q13" s="23"/>
      <c r="R13" s="8"/>
      <c r="S13" s="8"/>
      <c r="T13" s="8"/>
      <c r="U13" s="8"/>
      <c r="V13" s="8"/>
      <c r="W13" s="8"/>
      <c r="X13" s="8"/>
    </row>
    <row r="14" spans="1:24" ht="19.5" thickBot="1" thickTop="1">
      <c r="A14" s="14"/>
      <c r="B14" s="53" t="s">
        <v>34</v>
      </c>
      <c r="C14" s="54"/>
      <c r="D14" s="23"/>
      <c r="E14" s="48">
        <f>0.2*$C$6</f>
        <v>2.6</v>
      </c>
      <c r="F14" s="48">
        <f t="shared" si="0"/>
        <v>1.7234383001254014</v>
      </c>
      <c r="G14" s="48">
        <f t="shared" si="1"/>
        <v>10473.224594498517</v>
      </c>
      <c r="H14" s="48">
        <f t="shared" si="2"/>
        <v>0.008110938800761126</v>
      </c>
      <c r="I14" s="48">
        <f t="shared" si="3"/>
        <v>1</v>
      </c>
      <c r="J14" s="48">
        <f t="shared" si="4"/>
        <v>0.9926221717512482</v>
      </c>
      <c r="K14" s="49">
        <f t="shared" si="5"/>
        <v>2.798803390181463</v>
      </c>
      <c r="L14" s="23"/>
      <c r="M14" s="55"/>
      <c r="N14" s="56"/>
      <c r="O14" s="57"/>
      <c r="P14" s="58"/>
      <c r="Q14" s="23"/>
      <c r="R14" s="8"/>
      <c r="S14" s="8"/>
      <c r="T14" s="8"/>
      <c r="U14" s="8"/>
      <c r="V14" s="8"/>
      <c r="W14" s="8"/>
      <c r="X14" s="8"/>
    </row>
    <row r="15" spans="1:24" ht="16.5" thickTop="1">
      <c r="A15" s="14"/>
      <c r="B15" s="59" t="str">
        <f>IF(C17&lt;2100,"Laminar Flow","Turbulent Flow")</f>
        <v>Turbulent Flow</v>
      </c>
      <c r="C15" s="60"/>
      <c r="D15" s="61"/>
      <c r="E15" s="48">
        <f>0.3*$C$6</f>
        <v>3.9</v>
      </c>
      <c r="F15" s="48">
        <f t="shared" si="0"/>
        <v>2.585157450188102</v>
      </c>
      <c r="G15" s="48">
        <f t="shared" si="1"/>
        <v>15709.836891747773</v>
      </c>
      <c r="H15" s="48">
        <f t="shared" si="2"/>
        <v>0.007451381908527691</v>
      </c>
      <c r="I15" s="48">
        <f t="shared" si="3"/>
        <v>1</v>
      </c>
      <c r="J15" s="48">
        <f t="shared" si="4"/>
        <v>2.0517865955008125</v>
      </c>
      <c r="K15" s="49">
        <f t="shared" si="5"/>
        <v>5.785229710600945</v>
      </c>
      <c r="L15" s="23"/>
      <c r="M15" s="62"/>
      <c r="N15" s="63" t="s">
        <v>35</v>
      </c>
      <c r="O15" s="5">
        <v>0</v>
      </c>
      <c r="P15" s="58" t="s">
        <v>36</v>
      </c>
      <c r="Q15" s="23"/>
      <c r="R15" s="8"/>
      <c r="S15" s="8"/>
      <c r="T15" s="8"/>
      <c r="U15" s="8"/>
      <c r="V15" s="8"/>
      <c r="W15" s="8"/>
      <c r="X15" s="8"/>
    </row>
    <row r="16" spans="1:24" ht="15.75">
      <c r="A16" s="14"/>
      <c r="B16" s="64" t="s">
        <v>38</v>
      </c>
      <c r="C16" s="65">
        <f>$C$6/(PI()*$C$7^2/4/144)/7.481/60</f>
        <v>8.617191500627008</v>
      </c>
      <c r="D16" s="61" t="s">
        <v>39</v>
      </c>
      <c r="E16" s="48">
        <f>0.4*$C$6</f>
        <v>5.2</v>
      </c>
      <c r="F16" s="48">
        <f t="shared" si="0"/>
        <v>3.446876600250803</v>
      </c>
      <c r="G16" s="48">
        <f t="shared" si="1"/>
        <v>20946.449188997034</v>
      </c>
      <c r="H16" s="48">
        <f t="shared" si="2"/>
        <v>0.007058722065111058</v>
      </c>
      <c r="I16" s="48">
        <f t="shared" si="3"/>
        <v>1</v>
      </c>
      <c r="J16" s="48">
        <f t="shared" si="4"/>
        <v>3.455404706247565</v>
      </c>
      <c r="K16" s="49">
        <f t="shared" si="5"/>
        <v>9.742879699364831</v>
      </c>
      <c r="L16" s="23"/>
      <c r="M16" s="62"/>
      <c r="N16" s="63" t="s">
        <v>37</v>
      </c>
      <c r="O16" s="5">
        <v>4</v>
      </c>
      <c r="P16" s="58" t="s">
        <v>36</v>
      </c>
      <c r="Q16" s="23"/>
      <c r="R16" s="8"/>
      <c r="S16" s="8"/>
      <c r="T16" s="8"/>
      <c r="U16" s="8"/>
      <c r="V16" s="8"/>
      <c r="W16" s="8"/>
      <c r="X16" s="8"/>
    </row>
    <row r="17" spans="1:24" ht="15.75">
      <c r="A17" s="14"/>
      <c r="B17" s="64" t="s">
        <v>41</v>
      </c>
      <c r="C17" s="66">
        <f>$C$10*$C$7/12*$C$16/$C$21*1488</f>
        <v>52366.122972492594</v>
      </c>
      <c r="D17" s="61" t="s">
        <v>20</v>
      </c>
      <c r="E17" s="48">
        <f>0.5*$C$6</f>
        <v>6.5</v>
      </c>
      <c r="F17" s="48">
        <f t="shared" si="0"/>
        <v>4.308595750313504</v>
      </c>
      <c r="G17" s="48">
        <f t="shared" si="1"/>
        <v>26183.061486246297</v>
      </c>
      <c r="H17" s="48">
        <f t="shared" si="2"/>
        <v>0.0067927285613105515</v>
      </c>
      <c r="I17" s="48">
        <f t="shared" si="3"/>
        <v>1</v>
      </c>
      <c r="J17" s="48">
        <f t="shared" si="4"/>
        <v>5.195616948814304</v>
      </c>
      <c r="K17" s="49">
        <f t="shared" si="5"/>
        <v>14.649592507862955</v>
      </c>
      <c r="L17" s="23"/>
      <c r="M17" s="62"/>
      <c r="N17" s="63" t="s">
        <v>40</v>
      </c>
      <c r="O17" s="5">
        <v>4</v>
      </c>
      <c r="P17" s="58" t="s">
        <v>36</v>
      </c>
      <c r="Q17" s="23"/>
      <c r="R17" s="8"/>
      <c r="S17" s="8"/>
      <c r="T17" s="8"/>
      <c r="U17" s="8"/>
      <c r="V17" s="8"/>
      <c r="W17" s="8"/>
      <c r="X17" s="8"/>
    </row>
    <row r="18" spans="1:24" ht="15.75">
      <c r="A18" s="67"/>
      <c r="B18" s="64" t="s">
        <v>43</v>
      </c>
      <c r="C18" s="68">
        <f>IF($C$17&lt;2100,16/$C$17,(-1.7371*LN($C$9/3.7/$C$7+1.255/$C$17/($C$18)^0.5))^-2)</f>
        <v>0.006153154981327144</v>
      </c>
      <c r="D18" s="69" t="s">
        <v>44</v>
      </c>
      <c r="E18" s="48">
        <f>0.6*$C$6</f>
        <v>7.8</v>
      </c>
      <c r="F18" s="48">
        <f t="shared" si="0"/>
        <v>5.170314900376204</v>
      </c>
      <c r="G18" s="48">
        <f t="shared" si="1"/>
        <v>31419.673783495546</v>
      </c>
      <c r="H18" s="48">
        <f t="shared" si="2"/>
        <v>0.0065984573240081435</v>
      </c>
      <c r="I18" s="48">
        <f t="shared" si="3"/>
        <v>1</v>
      </c>
      <c r="J18" s="48">
        <f t="shared" si="4"/>
        <v>7.267712998519036</v>
      </c>
      <c r="K18" s="49">
        <f t="shared" si="5"/>
        <v>20.492086876554684</v>
      </c>
      <c r="L18" s="23"/>
      <c r="M18" s="62"/>
      <c r="N18" s="63" t="s">
        <v>42</v>
      </c>
      <c r="O18" s="5">
        <v>0</v>
      </c>
      <c r="P18" s="58" t="s">
        <v>36</v>
      </c>
      <c r="Q18" s="23"/>
      <c r="R18" s="8"/>
      <c r="S18" s="8"/>
      <c r="T18" s="8"/>
      <c r="U18" s="8"/>
      <c r="V18" s="8"/>
      <c r="W18" s="8"/>
      <c r="X18" s="8"/>
    </row>
    <row r="19" spans="1:24" ht="15.75">
      <c r="A19" s="14"/>
      <c r="B19" s="64" t="s">
        <v>46</v>
      </c>
      <c r="C19" s="70">
        <f>C9/C7</f>
        <v>0.0012738853503184713</v>
      </c>
      <c r="D19" s="61" t="s">
        <v>47</v>
      </c>
      <c r="E19" s="48">
        <f>0.7*$C$6</f>
        <v>9.1</v>
      </c>
      <c r="F19" s="48">
        <f t="shared" si="0"/>
        <v>6.032034050438906</v>
      </c>
      <c r="G19" s="48">
        <f t="shared" si="1"/>
        <v>36656.286080744816</v>
      </c>
      <c r="H19" s="48">
        <f t="shared" si="2"/>
        <v>0.006449342091210486</v>
      </c>
      <c r="I19" s="48">
        <f t="shared" si="3"/>
        <v>1</v>
      </c>
      <c r="J19" s="48">
        <f t="shared" si="4"/>
        <v>9.668616833381364</v>
      </c>
      <c r="K19" s="49">
        <f t="shared" si="5"/>
        <v>27.261689635535074</v>
      </c>
      <c r="L19" s="23"/>
      <c r="M19" s="62"/>
      <c r="N19" s="63" t="s">
        <v>45</v>
      </c>
      <c r="O19" s="5">
        <v>0</v>
      </c>
      <c r="P19" s="58" t="s">
        <v>36</v>
      </c>
      <c r="Q19" s="23"/>
      <c r="R19" s="8"/>
      <c r="S19" s="8"/>
      <c r="T19" s="8"/>
      <c r="U19" s="8"/>
      <c r="V19" s="8"/>
      <c r="W19" s="8"/>
      <c r="X19" s="8"/>
    </row>
    <row r="20" spans="1:24" ht="15.75">
      <c r="A20" s="14"/>
      <c r="B20" s="64" t="s">
        <v>49</v>
      </c>
      <c r="C20" s="71">
        <f>8*C16/C7*12</f>
        <v>1053.8221452996086</v>
      </c>
      <c r="D20" s="69" t="s">
        <v>17</v>
      </c>
      <c r="E20" s="48">
        <f>0.8*$C$6</f>
        <v>10.4</v>
      </c>
      <c r="F20" s="48">
        <f t="shared" si="0"/>
        <v>6.893753200501606</v>
      </c>
      <c r="G20" s="48">
        <f t="shared" si="1"/>
        <v>41892.89837799407</v>
      </c>
      <c r="H20" s="48">
        <f t="shared" si="2"/>
        <v>0.006330759492302449</v>
      </c>
      <c r="I20" s="48">
        <f t="shared" si="3"/>
        <v>1</v>
      </c>
      <c r="J20" s="48">
        <f t="shared" si="4"/>
        <v>12.396201999195249</v>
      </c>
      <c r="K20" s="49">
        <f t="shared" si="5"/>
        <v>34.95240502185394</v>
      </c>
      <c r="L20" s="23"/>
      <c r="M20" s="62"/>
      <c r="N20" s="63" t="s">
        <v>48</v>
      </c>
      <c r="O20" s="5">
        <v>0</v>
      </c>
      <c r="P20" s="58" t="s">
        <v>36</v>
      </c>
      <c r="Q20" s="23"/>
      <c r="R20" s="8"/>
      <c r="S20" s="8"/>
      <c r="T20" s="8"/>
      <c r="U20" s="8"/>
      <c r="V20" s="8"/>
      <c r="W20" s="8"/>
      <c r="X20" s="8"/>
    </row>
    <row r="21" spans="1:24" ht="15.75">
      <c r="A21" s="72"/>
      <c r="B21" s="64" t="s">
        <v>52</v>
      </c>
      <c r="C21" s="71">
        <f>IF(AND(ISNUMBER($O$6)=TRUE,ISNUMBER($O$7)=TRUE),1000*$O$6/(8*$C$16/$C$7*12)+$O$7,$C$11)</f>
        <v>1</v>
      </c>
      <c r="D21" s="61" t="s">
        <v>27</v>
      </c>
      <c r="E21" s="48">
        <f>0.9*$C$6</f>
        <v>11.700000000000001</v>
      </c>
      <c r="F21" s="48">
        <f t="shared" si="0"/>
        <v>7.755472350564307</v>
      </c>
      <c r="G21" s="48">
        <f t="shared" si="1"/>
        <v>47129.51067524333</v>
      </c>
      <c r="H21" s="48">
        <f t="shared" si="2"/>
        <v>0.006233912701680289</v>
      </c>
      <c r="I21" s="48">
        <f t="shared" si="3"/>
        <v>1</v>
      </c>
      <c r="J21" s="48">
        <f t="shared" si="4"/>
        <v>15.44893659761622</v>
      </c>
      <c r="K21" s="49">
        <f t="shared" si="5"/>
        <v>43.55991368581112</v>
      </c>
      <c r="L21" s="23"/>
      <c r="M21" s="73"/>
      <c r="N21" s="63" t="s">
        <v>50</v>
      </c>
      <c r="O21" s="5" t="s">
        <v>28</v>
      </c>
      <c r="P21" s="58" t="s">
        <v>51</v>
      </c>
      <c r="Q21" s="23"/>
      <c r="R21" s="8"/>
      <c r="S21" s="8"/>
      <c r="T21" s="8"/>
      <c r="U21" s="8"/>
      <c r="V21" s="8"/>
      <c r="W21" s="8"/>
      <c r="X21" s="8"/>
    </row>
    <row r="22" spans="1:24" ht="16.5" thickBot="1">
      <c r="A22" s="72"/>
      <c r="B22" s="64" t="s">
        <v>53</v>
      </c>
      <c r="C22" s="71">
        <f>IF($C$17&lt;2100,32*$C$21/1488*$C$8*4*$C$6/7.481/60/(PI()*32.17*($C$7/12)^4)/144,32*$C$18*$C$8*$C$6^2*$C$10/(PI()^2*32.17*($C$7/12)^5*7.481^2*60^2*144))</f>
        <v>18.825681621817353</v>
      </c>
      <c r="D22" s="61" t="s">
        <v>51</v>
      </c>
      <c r="E22" s="48">
        <f>1*$C$6</f>
        <v>13</v>
      </c>
      <c r="F22" s="48">
        <f t="shared" si="0"/>
        <v>8.617191500627008</v>
      </c>
      <c r="G22" s="48">
        <f t="shared" si="1"/>
        <v>52366.122972492594</v>
      </c>
      <c r="H22" s="48">
        <f t="shared" si="2"/>
        <v>0.006153154981327144</v>
      </c>
      <c r="I22" s="48">
        <f t="shared" si="3"/>
        <v>1</v>
      </c>
      <c r="J22" s="48">
        <f t="shared" si="4"/>
        <v>18.825681621817353</v>
      </c>
      <c r="K22" s="49">
        <f t="shared" si="5"/>
        <v>53.081004076970444</v>
      </c>
      <c r="L22" s="23"/>
      <c r="M22" s="74"/>
      <c r="N22" s="75"/>
      <c r="O22" s="76"/>
      <c r="P22" s="77"/>
      <c r="Q22" s="23"/>
      <c r="R22" s="8"/>
      <c r="S22" s="8"/>
      <c r="T22" s="8"/>
      <c r="U22" s="8"/>
      <c r="V22" s="8"/>
      <c r="W22" s="8"/>
      <c r="X22" s="8"/>
    </row>
    <row r="23" spans="1:24" ht="17.25" thickBot="1" thickTop="1">
      <c r="A23" s="14"/>
      <c r="B23" s="64" t="s">
        <v>54</v>
      </c>
      <c r="C23" s="71">
        <f>IF($O$21=" ",0,$O$21)+IF($M$25="X",$O$25/$C$8*$C$22,IF($M$24="X",$C$10*$C$16^2/2/32.17/144*IF($C$17&lt;50,RE50,IF($C$17&lt;100,RE100,IF($C$17&lt;500,RE500,IF($C$17&lt;2100,RE2000,RE2000)))),0))</f>
        <v>4.187145354052544</v>
      </c>
      <c r="D23" s="61" t="s">
        <v>51</v>
      </c>
      <c r="E23" s="48">
        <f>1.1*$C$6</f>
        <v>14.3</v>
      </c>
      <c r="F23" s="48">
        <f t="shared" si="0"/>
        <v>9.478910650689707</v>
      </c>
      <c r="G23" s="48">
        <f t="shared" si="1"/>
        <v>57602.73526974184</v>
      </c>
      <c r="H23" s="48">
        <f t="shared" si="2"/>
        <v>0.006084677099558379</v>
      </c>
      <c r="I23" s="48">
        <f t="shared" si="3"/>
        <v>1</v>
      </c>
      <c r="J23" s="48">
        <f t="shared" si="4"/>
        <v>22.525568586605424</v>
      </c>
      <c r="K23" s="49">
        <f t="shared" si="5"/>
        <v>63.51322740930609</v>
      </c>
      <c r="L23" s="23"/>
      <c r="M23" s="23"/>
      <c r="N23" s="23"/>
      <c r="O23" s="23"/>
      <c r="P23" s="23"/>
      <c r="Q23" s="23"/>
      <c r="R23" s="8"/>
      <c r="S23" s="8"/>
      <c r="T23" s="8"/>
      <c r="U23" s="8"/>
      <c r="V23" s="8"/>
      <c r="W23" s="8"/>
      <c r="X23" s="8"/>
    </row>
    <row r="24" spans="1:24" ht="16.5" thickBot="1">
      <c r="A24" s="14"/>
      <c r="B24" s="78" t="s">
        <v>55</v>
      </c>
      <c r="C24" s="79"/>
      <c r="D24" s="61"/>
      <c r="E24" s="48">
        <f>1.2*$C$6</f>
        <v>15.6</v>
      </c>
      <c r="F24" s="48">
        <f t="shared" si="0"/>
        <v>10.340629800752408</v>
      </c>
      <c r="G24" s="48">
        <f t="shared" si="1"/>
        <v>62839.34756699109</v>
      </c>
      <c r="H24" s="48">
        <f t="shared" si="2"/>
        <v>0.006025806423541756</v>
      </c>
      <c r="I24" s="48">
        <f t="shared" si="3"/>
        <v>1</v>
      </c>
      <c r="J24" s="48">
        <f t="shared" si="4"/>
        <v>26.54792144314844</v>
      </c>
      <c r="K24" s="49">
        <f t="shared" si="5"/>
        <v>74.85467749150301</v>
      </c>
      <c r="L24" s="23"/>
      <c r="M24" s="6"/>
      <c r="N24" s="58" t="s">
        <v>29</v>
      </c>
      <c r="O24" s="80">
        <f>IF(O5&lt;50,RE50,IF(O5&lt;100,RE100,IF(O5&lt;500,RE500,IF(O5&lt;2100,RE2000,RE2000))))</f>
        <v>101.2</v>
      </c>
      <c r="P24" s="58" t="s">
        <v>30</v>
      </c>
      <c r="Q24" s="23"/>
      <c r="R24" s="8"/>
      <c r="S24" s="8"/>
      <c r="T24" s="8"/>
      <c r="U24" s="8"/>
      <c r="V24" s="8"/>
      <c r="W24" s="8"/>
      <c r="X24" s="8"/>
    </row>
    <row r="25" spans="1:24" ht="16.5" thickBot="1">
      <c r="A25" s="14"/>
      <c r="B25" s="64" t="s">
        <v>56</v>
      </c>
      <c r="C25" s="71">
        <f>C22+C23</f>
        <v>23.012826975869896</v>
      </c>
      <c r="D25" s="61" t="s">
        <v>51</v>
      </c>
      <c r="E25" s="48">
        <f>1.3*$C$6</f>
        <v>16.900000000000002</v>
      </c>
      <c r="F25" s="48">
        <f t="shared" si="0"/>
        <v>11.202348950815113</v>
      </c>
      <c r="G25" s="48">
        <f t="shared" si="1"/>
        <v>68075.95986424039</v>
      </c>
      <c r="H25" s="48">
        <f t="shared" si="2"/>
        <v>0.0059746070079015</v>
      </c>
      <c r="I25" s="48">
        <f t="shared" si="3"/>
        <v>1</v>
      </c>
      <c r="J25" s="48">
        <f t="shared" si="4"/>
        <v>30.892204726189824</v>
      </c>
      <c r="K25" s="49">
        <f t="shared" si="5"/>
        <v>87.10384452253312</v>
      </c>
      <c r="L25" s="23"/>
      <c r="M25" s="6" t="s">
        <v>31</v>
      </c>
      <c r="N25" s="81" t="s">
        <v>32</v>
      </c>
      <c r="O25" s="80">
        <f>(O15*12+O16*20+O17*65+O18*100+O19*9+O20*410)*C7/12</f>
        <v>22.24166666666667</v>
      </c>
      <c r="P25" s="58" t="s">
        <v>33</v>
      </c>
      <c r="Q25" s="23"/>
      <c r="R25" s="8"/>
      <c r="S25" s="8"/>
      <c r="T25" s="8"/>
      <c r="U25" s="8"/>
      <c r="V25" s="8"/>
      <c r="W25" s="8"/>
      <c r="X25" s="8"/>
    </row>
    <row r="26" spans="1:24" ht="15.75">
      <c r="A26" s="14"/>
      <c r="B26" s="64" t="s">
        <v>57</v>
      </c>
      <c r="C26" s="71">
        <f>144*(C22+C23)/C10</f>
        <v>53.081004076970444</v>
      </c>
      <c r="D26" s="61" t="s">
        <v>9</v>
      </c>
      <c r="E26" s="48">
        <f>1.4*$C$6</f>
        <v>18.2</v>
      </c>
      <c r="F26" s="48">
        <f t="shared" si="0"/>
        <v>12.064068100877812</v>
      </c>
      <c r="G26" s="48">
        <f t="shared" si="1"/>
        <v>73312.57216148963</v>
      </c>
      <c r="H26" s="48">
        <f t="shared" si="2"/>
        <v>0.0059296389683765474</v>
      </c>
      <c r="I26" s="48">
        <f t="shared" si="3"/>
        <v>1</v>
      </c>
      <c r="J26" s="48">
        <f t="shared" si="4"/>
        <v>35.55798798370702</v>
      </c>
      <c r="K26" s="49">
        <f t="shared" si="5"/>
        <v>100.25951479730867</v>
      </c>
      <c r="L26" s="23"/>
      <c r="M26" s="23"/>
      <c r="N26" s="23"/>
      <c r="O26" s="23"/>
      <c r="P26" s="23"/>
      <c r="Q26" s="23"/>
      <c r="R26" s="8"/>
      <c r="S26" s="8"/>
      <c r="T26" s="8"/>
      <c r="U26" s="8"/>
      <c r="V26" s="8"/>
      <c r="W26" s="8"/>
      <c r="X26" s="8"/>
    </row>
    <row r="27" spans="1:24" ht="16.5" thickBot="1">
      <c r="A27" s="14"/>
      <c r="B27" s="82"/>
      <c r="C27" s="83"/>
      <c r="D27" s="61"/>
      <c r="E27" s="48">
        <f>1.5*$C$6</f>
        <v>19.5</v>
      </c>
      <c r="F27" s="48">
        <f t="shared" si="0"/>
        <v>12.925787250940513</v>
      </c>
      <c r="G27" s="48">
        <f t="shared" si="1"/>
        <v>78549.18445873889</v>
      </c>
      <c r="H27" s="48">
        <f t="shared" si="2"/>
        <v>0.005889807240035871</v>
      </c>
      <c r="I27" s="48">
        <f t="shared" si="3"/>
        <v>1</v>
      </c>
      <c r="J27" s="48">
        <f t="shared" si="4"/>
        <v>40.54492070577893</v>
      </c>
      <c r="K27" s="49">
        <f t="shared" si="5"/>
        <v>114.32070001596753</v>
      </c>
      <c r="L27" s="23"/>
      <c r="M27" s="23"/>
      <c r="N27" s="23"/>
      <c r="O27" s="23"/>
      <c r="P27" s="23"/>
      <c r="Q27" s="23"/>
      <c r="R27" s="8"/>
      <c r="S27" s="8"/>
      <c r="T27" s="8"/>
      <c r="U27" s="8"/>
      <c r="V27" s="8"/>
      <c r="W27" s="8"/>
      <c r="X27" s="8"/>
    </row>
    <row r="28" spans="1:24" ht="13.5" thickTop="1">
      <c r="A28" s="14"/>
      <c r="B28" s="23"/>
      <c r="C28" s="23"/>
      <c r="D28" s="23"/>
      <c r="E28" s="84"/>
      <c r="F28" s="84"/>
      <c r="G28" s="84"/>
      <c r="H28" s="84"/>
      <c r="I28" s="84"/>
      <c r="J28" s="84"/>
      <c r="K28" s="85"/>
      <c r="L28" s="23"/>
      <c r="M28" s="23"/>
      <c r="N28" s="23"/>
      <c r="O28" s="23"/>
      <c r="P28" s="23"/>
      <c r="Q28" s="23"/>
      <c r="R28" s="8"/>
      <c r="S28" s="8"/>
      <c r="T28" s="8"/>
      <c r="U28" s="8"/>
      <c r="V28" s="8"/>
      <c r="W28" s="8"/>
      <c r="X28" s="8"/>
    </row>
    <row r="29" spans="1:24" ht="12.75">
      <c r="A29" s="1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8"/>
      <c r="S29" s="8"/>
      <c r="T29" s="8"/>
      <c r="U29" s="8"/>
      <c r="V29" s="8"/>
      <c r="W29" s="8"/>
      <c r="X29" s="8"/>
    </row>
    <row r="30" spans="1:24" ht="15.75">
      <c r="A30" s="14"/>
      <c r="B30" s="86" t="s">
        <v>72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87" t="s">
        <v>68</v>
      </c>
      <c r="N30" s="23"/>
      <c r="O30" s="23"/>
      <c r="P30" s="23"/>
      <c r="Q30" s="23"/>
      <c r="R30" s="8"/>
      <c r="S30" s="8"/>
      <c r="T30" s="8"/>
      <c r="U30" s="8"/>
      <c r="V30" s="8"/>
      <c r="W30" s="8"/>
      <c r="X30" s="8"/>
    </row>
    <row r="31" spans="1:24" ht="15">
      <c r="A31" s="14"/>
      <c r="B31" s="88" t="s">
        <v>73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8"/>
      <c r="S31" s="8"/>
      <c r="T31" s="8"/>
      <c r="U31" s="8"/>
      <c r="V31" s="8"/>
      <c r="W31" s="8"/>
      <c r="X31" s="8"/>
    </row>
    <row r="32" spans="1:24" ht="15">
      <c r="A32" s="1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89" t="s">
        <v>69</v>
      </c>
      <c r="N32" s="23"/>
      <c r="O32" s="23"/>
      <c r="P32" s="23"/>
      <c r="Q32" s="23"/>
      <c r="R32" s="8"/>
      <c r="S32" s="8"/>
      <c r="T32" s="8"/>
      <c r="U32" s="8"/>
      <c r="V32" s="8"/>
      <c r="W32" s="8"/>
      <c r="X32" s="8"/>
    </row>
    <row r="33" spans="1:2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3"/>
      <c r="N33" s="23"/>
      <c r="O33" s="23"/>
      <c r="P33" s="8"/>
      <c r="Q33" s="8"/>
      <c r="R33" s="8"/>
      <c r="S33" s="8"/>
      <c r="T33" s="8"/>
      <c r="U33" s="8"/>
      <c r="V33" s="8"/>
      <c r="W33" s="8"/>
      <c r="X33" s="8"/>
    </row>
    <row r="34" spans="1:24" ht="19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9" t="s">
        <v>74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9" t="s">
        <v>70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9" t="s">
        <v>71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</sheetData>
  <sheetProtection password="C52A" sheet="1" objects="1" scenarios="1"/>
  <printOptions/>
  <pageMargins left="0.75" right="0.75" top="1" bottom="1" header="0.5" footer="0.5"/>
  <pageSetup horizontalDpi="360" verticalDpi="360" orientation="portrait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V43" sqref="V43"/>
    </sheetView>
  </sheetViews>
  <sheetFormatPr defaultColWidth="9.140625" defaultRowHeight="12.75"/>
  <cols>
    <col min="1" max="3" width="7.421875" style="9" customWidth="1"/>
    <col min="4" max="4" width="9.28125" style="9" customWidth="1"/>
    <col min="5" max="5" width="11.57421875" style="9" customWidth="1"/>
    <col min="6" max="6" width="6.8515625" style="9" customWidth="1"/>
    <col min="7" max="7" width="6.7109375" style="9" customWidth="1"/>
    <col min="8" max="8" width="7.00390625" style="9" customWidth="1"/>
    <col min="9" max="9" width="7.28125" style="9" customWidth="1"/>
    <col min="10" max="10" width="11.140625" style="9" customWidth="1"/>
    <col min="11" max="11" width="11.00390625" style="9" customWidth="1"/>
    <col min="12" max="12" width="5.421875" style="9" customWidth="1"/>
    <col min="13" max="16384" width="9.140625" style="9" customWidth="1"/>
  </cols>
  <sheetData>
    <row r="1" spans="1:21" ht="27.75">
      <c r="A1" s="90"/>
      <c r="B1" s="12"/>
      <c r="C1" s="12"/>
      <c r="D1" s="12"/>
      <c r="E1" s="91" t="s">
        <v>66</v>
      </c>
      <c r="F1" s="12"/>
      <c r="G1" s="12"/>
      <c r="H1" s="12"/>
      <c r="I1" s="12"/>
      <c r="J1" s="12"/>
      <c r="K1" s="12"/>
      <c r="L1" s="12"/>
      <c r="M1" s="12"/>
      <c r="N1" s="12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9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9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9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 customHeight="1">
      <c r="A7" s="8"/>
      <c r="B7" s="8"/>
      <c r="C7" s="8"/>
      <c r="D7" s="8"/>
      <c r="E7" s="92"/>
      <c r="F7" s="8"/>
      <c r="G7" s="8"/>
      <c r="H7" s="8"/>
      <c r="I7" s="8"/>
      <c r="J7" s="8"/>
      <c r="K7" s="8"/>
      <c r="L7" s="8"/>
      <c r="M7" s="93"/>
      <c r="N7" s="8"/>
      <c r="O7" s="8"/>
      <c r="P7" s="8"/>
      <c r="Q7" s="8"/>
      <c r="R7" s="8"/>
      <c r="S7" s="8"/>
      <c r="T7" s="8"/>
      <c r="U7" s="8"/>
    </row>
    <row r="8" spans="1:21" ht="21">
      <c r="A8" s="8"/>
      <c r="B8" s="8"/>
      <c r="C8" s="8"/>
      <c r="D8" s="8"/>
      <c r="E8" s="92"/>
      <c r="F8" s="8"/>
      <c r="G8" s="8"/>
      <c r="H8" s="8"/>
      <c r="I8" s="8"/>
      <c r="J8" s="8"/>
      <c r="K8" s="8"/>
      <c r="L8" s="8"/>
      <c r="M8" s="8"/>
      <c r="N8" s="94" t="s">
        <v>58</v>
      </c>
      <c r="O8" s="8"/>
      <c r="P8" s="8"/>
      <c r="Q8" s="8"/>
      <c r="R8" s="8"/>
      <c r="S8" s="8"/>
      <c r="T8" s="8"/>
      <c r="U8" s="8"/>
    </row>
    <row r="9" spans="1:21" ht="16.5" customHeight="1">
      <c r="A9" s="8"/>
      <c r="B9" s="8"/>
      <c r="C9" s="8"/>
      <c r="D9" s="8"/>
      <c r="E9" s="92"/>
      <c r="F9" s="8"/>
      <c r="G9" s="8"/>
      <c r="H9" s="8"/>
      <c r="I9" s="8"/>
      <c r="J9" s="8"/>
      <c r="K9" s="8"/>
      <c r="L9" s="8"/>
      <c r="M9" s="95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92"/>
      <c r="F10" s="8"/>
      <c r="G10" s="8"/>
      <c r="H10" s="8"/>
      <c r="I10" s="8"/>
      <c r="J10" s="8"/>
      <c r="K10" s="96"/>
      <c r="L10" s="97">
        <v>1</v>
      </c>
      <c r="M10" s="96"/>
      <c r="N10" s="9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9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99"/>
      <c r="E12" s="9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8"/>
      <c r="B13" s="8"/>
      <c r="C13" s="8"/>
      <c r="D13" s="99"/>
      <c r="E13" s="92"/>
      <c r="F13" s="8"/>
      <c r="G13" s="8"/>
      <c r="H13" s="8"/>
      <c r="I13" s="8"/>
      <c r="J13" s="8"/>
      <c r="K13" s="8"/>
      <c r="L13" s="98"/>
      <c r="M13" s="98"/>
      <c r="N13" s="8"/>
      <c r="O13" s="8"/>
      <c r="P13" s="8"/>
      <c r="Q13" s="8"/>
      <c r="R13" s="8"/>
      <c r="S13" s="8"/>
      <c r="T13" s="8"/>
      <c r="U13" s="8"/>
    </row>
    <row r="14" spans="1:21" ht="12.75">
      <c r="A14" s="8"/>
      <c r="B14" s="8"/>
      <c r="C14" s="8"/>
      <c r="D14" s="8"/>
      <c r="E14" s="92"/>
      <c r="F14" s="8"/>
      <c r="G14" s="8"/>
      <c r="H14" s="8"/>
      <c r="I14" s="8"/>
      <c r="J14" s="8"/>
      <c r="K14" s="8"/>
      <c r="L14" s="8"/>
      <c r="M14" s="9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92"/>
      <c r="F15" s="8"/>
      <c r="G15" s="8"/>
      <c r="H15" s="8"/>
      <c r="I15" s="8"/>
      <c r="J15" s="8"/>
      <c r="K15" s="8"/>
      <c r="L15" s="8"/>
      <c r="M15" s="9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9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8"/>
      <c r="B17" s="100"/>
      <c r="C17" s="8"/>
      <c r="D17" s="8"/>
      <c r="E17" s="9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customHeight="1">
      <c r="A18" s="8"/>
      <c r="B18" s="100"/>
      <c r="C18" s="8"/>
      <c r="D18" s="8"/>
      <c r="E18" s="9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3.5" customHeight="1">
      <c r="A19" s="8"/>
      <c r="B19" s="100"/>
      <c r="C19" s="8"/>
      <c r="D19" s="8"/>
      <c r="E19" s="9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4.25" customHeight="1">
      <c r="A20" s="8"/>
      <c r="B20" s="100"/>
      <c r="C20" s="8"/>
      <c r="D20" s="8"/>
      <c r="E20" s="9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9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92"/>
      <c r="F22" s="8"/>
      <c r="G22" s="10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92"/>
      <c r="F23" s="8"/>
      <c r="G23" s="102" t="s">
        <v>59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7.25">
      <c r="A24" s="8"/>
      <c r="B24" s="8"/>
      <c r="C24" s="8"/>
      <c r="D24" s="8"/>
      <c r="E24" s="92"/>
      <c r="F24" s="8"/>
      <c r="G24" s="10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92"/>
      <c r="F25" s="8"/>
      <c r="G25" s="10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92"/>
      <c r="F26" s="97">
        <v>1</v>
      </c>
      <c r="G26" s="9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92"/>
      <c r="F27" s="98"/>
      <c r="G27" s="9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9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9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9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9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3.5" thickBot="1">
      <c r="A32" s="8"/>
      <c r="B32" s="8"/>
      <c r="C32" s="8"/>
      <c r="D32" s="8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98"/>
      <c r="P32" s="9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27">
      <c r="A34" s="8"/>
      <c r="B34" s="8"/>
      <c r="C34" s="8"/>
      <c r="D34" s="8"/>
      <c r="E34" s="106" t="s">
        <v>75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8"/>
      <c r="R34" s="8"/>
      <c r="S34" s="8"/>
      <c r="T34" s="8"/>
      <c r="U34" s="8"/>
    </row>
    <row r="35" spans="1:21" ht="6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1">
      <c r="A36" s="98"/>
      <c r="B36" s="108"/>
      <c r="C36" s="108" t="s">
        <v>58</v>
      </c>
      <c r="D36" s="109" t="s">
        <v>60</v>
      </c>
      <c r="E36" s="1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20.25">
      <c r="A37" s="98"/>
      <c r="B37" s="111"/>
      <c r="C37" s="111" t="s">
        <v>59</v>
      </c>
      <c r="D37" s="109" t="s">
        <v>61</v>
      </c>
      <c r="E37" s="109"/>
      <c r="F37" s="109"/>
      <c r="G37" s="109"/>
      <c r="H37" s="109"/>
      <c r="I37" s="109"/>
      <c r="J37" s="109"/>
      <c r="K37" s="109"/>
      <c r="L37" s="109"/>
      <c r="M37" s="8"/>
      <c r="N37" s="8"/>
      <c r="O37" s="8"/>
      <c r="P37" s="8"/>
      <c r="Q37" s="8"/>
      <c r="R37" s="8"/>
      <c r="S37" s="8"/>
      <c r="T37" s="8"/>
      <c r="U37" s="8"/>
    </row>
    <row r="38" spans="1:21" ht="20.25">
      <c r="A38" s="98"/>
      <c r="B38" s="109"/>
      <c r="C38" s="109"/>
      <c r="D38" s="109" t="s">
        <v>62</v>
      </c>
      <c r="E38" s="109"/>
      <c r="F38" s="109"/>
      <c r="G38" s="109"/>
      <c r="H38" s="109"/>
      <c r="I38" s="109"/>
      <c r="J38" s="109"/>
      <c r="K38" s="109"/>
      <c r="L38" s="109"/>
      <c r="M38" s="8"/>
      <c r="N38" s="8"/>
      <c r="O38" s="8"/>
      <c r="P38" s="8"/>
      <c r="Q38" s="8"/>
      <c r="R38" s="8"/>
      <c r="S38" s="8"/>
      <c r="T38" s="8"/>
      <c r="U38" s="8"/>
    </row>
    <row r="39" spans="1:21" ht="20.25">
      <c r="A39" s="8"/>
      <c r="B39" s="8"/>
      <c r="C39" s="8"/>
      <c r="D39" s="109" t="s">
        <v>63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20.25">
      <c r="A40" s="8"/>
      <c r="B40" s="112"/>
      <c r="C40" s="112" t="s">
        <v>39</v>
      </c>
      <c r="D40" s="109" t="s">
        <v>64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20.25">
      <c r="A41" s="8"/>
      <c r="B41" s="112"/>
      <c r="C41" s="112" t="s">
        <v>7</v>
      </c>
      <c r="D41" s="109" t="s">
        <v>65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</sheetData>
  <sheetProtection password="C52A" sheet="1" objects="1" scenarios="1"/>
  <mergeCells count="2">
    <mergeCell ref="G23:G24"/>
    <mergeCell ref="D12:D1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Arbogast</cp:lastModifiedBy>
  <dcterms:modified xsi:type="dcterms:W3CDTF">2010-09-11T17:13:45Z</dcterms:modified>
  <cp:category/>
  <cp:version/>
  <cp:contentType/>
  <cp:contentStatus/>
</cp:coreProperties>
</file>